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2.xml" ContentType="application/vnd.openxmlformats-officedocument.spreadsheetml.pivotCacheRecord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worksheets/sheet14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Tables/pivotTable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45" windowWidth="14235" windowHeight="7590" tabRatio="970" firstSheet="4" activeTab="13"/>
  </bookViews>
  <sheets>
    <sheet name="COVER SHEET" sheetId="171" r:id="rId1"/>
    <sheet name="TAKEOFF DETAILS" sheetId="188" r:id="rId2"/>
    <sheet name="P2-PAD FOOTINGS" sheetId="175" r:id="rId3"/>
    <sheet name="P2-WALL FOOTINGS" sheetId="174" r:id="rId4"/>
    <sheet name="P2-SLAB ON GRADE" sheetId="176" r:id="rId5"/>
    <sheet name="COLUMNS" sheetId="177" r:id="rId6"/>
    <sheet name="CONCRETE WALLS" sheetId="187" r:id="rId7"/>
    <sheet name="P1 LEVEL BEAMS" sheetId="182" r:id="rId8"/>
    <sheet name="P1 LEVEL SLAB" sheetId="181" r:id="rId9"/>
    <sheet name="1ST FLOOR BEAMS" sheetId="183" r:id="rId10"/>
    <sheet name="1ST FLOOR SLAB" sheetId="186" r:id="rId11"/>
    <sheet name="2ND FLOOR BEAMS" sheetId="184" r:id="rId12"/>
    <sheet name="2ND FLOOR SLAB" sheetId="185" r:id="rId13"/>
    <sheet name="STAIRS" sheetId="178" r:id="rId14"/>
  </sheets>
  <definedNames>
    <definedName name="_xlnm._FilterDatabase" localSheetId="9" hidden="1">'1ST FLOOR BEAMS'!$B$8:$K$58</definedName>
    <definedName name="_xlnm._FilterDatabase" localSheetId="10" hidden="1">'1ST FLOOR SLAB'!$G$8:$H$396</definedName>
    <definedName name="_xlnm._FilterDatabase" localSheetId="11" hidden="1">'2ND FLOOR BEAMS'!$B$8:$K$58</definedName>
    <definedName name="_xlnm._FilterDatabase" localSheetId="12" hidden="1" xml:space="preserve">                                                    '2ND FLOOR SLAB'!$G$8:$H$399</definedName>
    <definedName name="_xlnm._FilterDatabase" localSheetId="5" hidden="1">COLUMNS!$B$8:$H$407</definedName>
    <definedName name="_xlnm._FilterDatabase" localSheetId="6" hidden="1">'CONCRETE WALLS'!$B$8:$H$59</definedName>
    <definedName name="_xlnm._FilterDatabase" localSheetId="7" hidden="1">'P1 LEVEL BEAMS'!$B$8:$K$58</definedName>
    <definedName name="_xlnm._FilterDatabase" localSheetId="8" hidden="1">'P1 LEVEL SLAB'!$B$8:$H$359</definedName>
    <definedName name="_xlnm._FilterDatabase" localSheetId="2" hidden="1">'P2-PAD FOOTINGS'!$B$8:$K$61</definedName>
    <definedName name="_xlnm._FilterDatabase" localSheetId="4" hidden="1">'P2-SLAB ON GRADE'!$B$8:$H$59</definedName>
    <definedName name="_xlnm._FilterDatabase" localSheetId="3" hidden="1">'P2-WALL FOOTINGS'!$B$8:$K$111</definedName>
    <definedName name="_xlnm._FilterDatabase" localSheetId="13" hidden="1">STAIRS!$B$8:$K$109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6">#REF!</definedName>
    <definedName name="A" localSheetId="7">#REF!</definedName>
    <definedName name="A" localSheetId="8">#REF!</definedName>
    <definedName name="A" localSheetId="2">#REF!</definedName>
    <definedName name="A" localSheetId="4">#REF!</definedName>
    <definedName name="A" localSheetId="3">#REF!</definedName>
    <definedName name="A">#REF!</definedName>
    <definedName name="AAAAAAAAAAAAAAAAAAAAAAAAAAAAAAAAAAAAAAAAAAAAAAAAAAAAAAA1" localSheetId="9">'1ST FLOOR BEAMS'!$A$59813</definedName>
    <definedName name="AAAAAAAAAAAAAAAAAAAAAAAAAAAAAAAAAAAAAAAAAAAAAAAAAAAAAAA1" localSheetId="10">'1ST FLOOR SLAB'!$A$60163</definedName>
    <definedName name="AAAAAAAAAAAAAAAAAAAAAAAAAAAAAAAAAAAAAAAAAAAAAAAAAAAAAAA1" localSheetId="11">'2ND FLOOR BEAMS'!$A$59813</definedName>
    <definedName name="AAAAAAAAAAAAAAAAAAAAAAAAAAAAAAAAAAAAAAAAAAAAAAAAAAAAAAA1" localSheetId="12">'2ND FLOOR SLAB'!$A$60163</definedName>
    <definedName name="AAAAAAAAAAAAAAAAAAAAAAAAAAAAAAAAAAAAAAAAAAAAAAAAAAAAAAA1" localSheetId="5">COLUMNS!$A$60263</definedName>
    <definedName name="AAAAAAAAAAAAAAAAAAAAAAAAAAAAAAAAAAAAAAAAAAAAAAAAAAAAAAA1" localSheetId="6">'CONCRETE WALLS'!$A$59813</definedName>
    <definedName name="AAAAAAAAAAAAAAAAAAAAAAAAAAAAAAAAAAAAAAAAAAAAAAAAAAAAAAA1" localSheetId="0">#REF!</definedName>
    <definedName name="AAAAAAAAAAAAAAAAAAAAAAAAAAAAAAAAAAAAAAAAAAAAAAAAAAAAAAA1" localSheetId="7">'P1 LEVEL BEAMS'!$A$59813</definedName>
    <definedName name="AAAAAAAAAAAAAAAAAAAAAAAAAAAAAAAAAAAAAAAAAAAAAAAAAAAAAAA1" localSheetId="8">'P1 LEVEL SLAB'!$A$60113</definedName>
    <definedName name="AAAAAAAAAAAAAAAAAAAAAAAAAAAAAAAAAAAAAAAAAAAAAAAAAAAAAAA1" localSheetId="2">'P2-PAD FOOTINGS'!$A$59816</definedName>
    <definedName name="AAAAAAAAAAAAAAAAAAAAAAAAAAAAAAAAAAAAAAAAAAAAAAAAAAAAAAA1" localSheetId="4">'P2-SLAB ON GRADE'!$A$59813</definedName>
    <definedName name="AAAAAAAAAAAAAAAAAAAAAAAAAAAAAAAAAAAAAAAAAAAAAAAAAAAAAAA1" localSheetId="3">'P2-WALL FOOTINGS'!$A$59866</definedName>
    <definedName name="AAAAAAAAAAAAAAAAAAAAAAAAAAAAAAAAAAAAAAAAAAAAAAAAAAAAAAA1" localSheetId="13">STAIRS!$A$59963</definedName>
    <definedName name="AAAAAAAAAAAAAAAAAAAAAAAAAAAAAAAAAAAAAAAAAAAAAAAAAAAAAAA1">#REF!</definedName>
    <definedName name="AB" localSheetId="12">#REF!</definedName>
    <definedName name="AB" localSheetId="6">#REF!</definedName>
    <definedName name="AB" localSheetId="8">#REF!</definedName>
    <definedName name="AB">#REF!</definedName>
    <definedName name="ADAS" localSheetId="9">#REF!</definedName>
    <definedName name="ADAS" localSheetId="10">#REF!</definedName>
    <definedName name="ADAS" localSheetId="11">#REF!</definedName>
    <definedName name="ADAS" localSheetId="12">#REF!</definedName>
    <definedName name="ADAS" localSheetId="6">#REF!</definedName>
    <definedName name="ADAS" localSheetId="7">#REF!</definedName>
    <definedName name="ADAS" localSheetId="8">#REF!</definedName>
    <definedName name="ADAS" localSheetId="2">#REF!</definedName>
    <definedName name="ADAS" localSheetId="4">#REF!</definedName>
    <definedName name="ADAS" localSheetId="3">#REF!</definedName>
    <definedName name="ADAS">#REF!</definedName>
    <definedName name="ads" localSheetId="9">#REF!</definedName>
    <definedName name="ads" localSheetId="10">#REF!</definedName>
    <definedName name="ads" localSheetId="11">#REF!</definedName>
    <definedName name="ads" localSheetId="12">#REF!</definedName>
    <definedName name="ads" localSheetId="6">#REF!</definedName>
    <definedName name="ads" localSheetId="7">#REF!</definedName>
    <definedName name="ads" localSheetId="8">#REF!</definedName>
    <definedName name="ads" localSheetId="2">#REF!</definedName>
    <definedName name="ads" localSheetId="4">#REF!</definedName>
    <definedName name="ads" localSheetId="3">#REF!</definedName>
    <definedName name="ads">#REF!</definedName>
    <definedName name="ADSASDSDSDS" localSheetId="9">#REF!</definedName>
    <definedName name="ADSASDSDSDS" localSheetId="10">#REF!</definedName>
    <definedName name="ADSASDSDSDS" localSheetId="11">#REF!</definedName>
    <definedName name="ADSASDSDSDS" localSheetId="12">#REF!</definedName>
    <definedName name="ADSASDSDSDS" localSheetId="6">#REF!</definedName>
    <definedName name="ADSASDSDSDS" localSheetId="7">#REF!</definedName>
    <definedName name="ADSASDSDSDS" localSheetId="8">#REF!</definedName>
    <definedName name="ADSASDSDSDS" localSheetId="2">#REF!</definedName>
    <definedName name="ADSASDSDSDS" localSheetId="4">#REF!</definedName>
    <definedName name="ADSASDSDSDS" localSheetId="3">#REF!</definedName>
    <definedName name="ADSASDSDSDS">#REF!</definedName>
    <definedName name="ASDS" localSheetId="9">#REF!</definedName>
    <definedName name="ASDS" localSheetId="10">#REF!</definedName>
    <definedName name="ASDS" localSheetId="11">#REF!</definedName>
    <definedName name="ASDS" localSheetId="12">#REF!</definedName>
    <definedName name="ASDS" localSheetId="6">#REF!</definedName>
    <definedName name="ASDS" localSheetId="7">#REF!</definedName>
    <definedName name="ASDS" localSheetId="8">#REF!</definedName>
    <definedName name="ASDS" localSheetId="2">#REF!</definedName>
    <definedName name="ASDS" localSheetId="4">#REF!</definedName>
    <definedName name="ASDS" localSheetId="3">#REF!</definedName>
    <definedName name="ASDS">#REF!</definedName>
    <definedName name="CAP" localSheetId="9">#REF!</definedName>
    <definedName name="CAP" localSheetId="10">#REF!</definedName>
    <definedName name="CAP" localSheetId="11">#REF!</definedName>
    <definedName name="CAP" localSheetId="12">#REF!</definedName>
    <definedName name="CAP" localSheetId="5">#REF!</definedName>
    <definedName name="CAP" localSheetId="6">#REF!</definedName>
    <definedName name="CAP" localSheetId="7">#REF!</definedName>
    <definedName name="CAP" localSheetId="8">#REF!</definedName>
    <definedName name="CAP" localSheetId="2">#REF!</definedName>
    <definedName name="CAP" localSheetId="4">#REF!</definedName>
    <definedName name="CAP" localSheetId="3">#REF!</definedName>
    <definedName name="CAP" localSheetId="13">#REF!</definedName>
    <definedName name="CAP">#REF!</definedName>
    <definedName name="DASFADF" localSheetId="9">#REF!</definedName>
    <definedName name="DASFADF" localSheetId="10">#REF!</definedName>
    <definedName name="DASFADF" localSheetId="11">#REF!</definedName>
    <definedName name="DASFADF" localSheetId="12">#REF!</definedName>
    <definedName name="DASFADF" localSheetId="6">#REF!</definedName>
    <definedName name="DASFADF" localSheetId="7">#REF!</definedName>
    <definedName name="DASFADF" localSheetId="8">#REF!</definedName>
    <definedName name="DASFADF" localSheetId="2">#REF!</definedName>
    <definedName name="DASFADF" localSheetId="4">#REF!</definedName>
    <definedName name="DASFADF" localSheetId="3">#REF!</definedName>
    <definedName name="DASFADF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6">#REF!</definedName>
    <definedName name="DD" localSheetId="7">#REF!</definedName>
    <definedName name="DD" localSheetId="8">#REF!</definedName>
    <definedName name="DD" localSheetId="2">#REF!</definedName>
    <definedName name="DD" localSheetId="4">#REF!</definedName>
    <definedName name="DD" localSheetId="3">#REF!</definedName>
    <definedName name="DD">#REF!</definedName>
    <definedName name="des" localSheetId="9">#REF!</definedName>
    <definedName name="des" localSheetId="11">#REF!</definedName>
    <definedName name="des" localSheetId="6">#REF!</definedName>
    <definedName name="des">#REF!</definedName>
    <definedName name="DSADFSADFSAF" localSheetId="9">#REF!</definedName>
    <definedName name="DSADFSADFSAF" localSheetId="10">#REF!</definedName>
    <definedName name="DSADFSADFSAF" localSheetId="11">#REF!</definedName>
    <definedName name="DSADFSADFSAF" localSheetId="12">#REF!</definedName>
    <definedName name="DSADFSADFSAF" localSheetId="6">#REF!</definedName>
    <definedName name="DSADFSADFSAF" localSheetId="7">#REF!</definedName>
    <definedName name="DSADFSADFSAF" localSheetId="8">#REF!</definedName>
    <definedName name="DSADFSADFSAF" localSheetId="2">#REF!</definedName>
    <definedName name="DSADFSADFSAF" localSheetId="4">#REF!</definedName>
    <definedName name="DSADFSADFSAF" localSheetId="3">#REF!</definedName>
    <definedName name="DSADFSADFSAF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6">#REF!</definedName>
    <definedName name="E" localSheetId="7">#REF!</definedName>
    <definedName name="E" localSheetId="8">#REF!</definedName>
    <definedName name="E" localSheetId="2">#REF!</definedName>
    <definedName name="E" localSheetId="4">#REF!</definedName>
    <definedName name="E" localSheetId="3">#REF!</definedName>
    <definedName name="E">#REF!</definedName>
    <definedName name="ERFE" localSheetId="9">#REF!</definedName>
    <definedName name="ERFE" localSheetId="10">#REF!</definedName>
    <definedName name="ERFE" localSheetId="11">#REF!</definedName>
    <definedName name="ERFE" localSheetId="12">#REF!</definedName>
    <definedName name="ERFE" localSheetId="6">#REF!</definedName>
    <definedName name="ERFE" localSheetId="7">#REF!</definedName>
    <definedName name="ERFE" localSheetId="8">#REF!</definedName>
    <definedName name="ERFE" localSheetId="2">#REF!</definedName>
    <definedName name="ERFE" localSheetId="4">#REF!</definedName>
    <definedName name="ERFE" localSheetId="3">#REF!</definedName>
    <definedName name="ERFE">#REF!</definedName>
    <definedName name="ESCV" localSheetId="9">#REF!</definedName>
    <definedName name="ESCV" localSheetId="11">#REF!</definedName>
    <definedName name="ESCV" localSheetId="6">#REF!</definedName>
    <definedName name="ESCV">#REF!</definedName>
    <definedName name="f" localSheetId="9">#REF!</definedName>
    <definedName name="f" localSheetId="11">#REF!</definedName>
    <definedName name="f" localSheetId="6">#REF!</definedName>
    <definedName name="f">#REF!</definedName>
    <definedName name="fdf" localSheetId="9">#REF!</definedName>
    <definedName name="fdf" localSheetId="10">#REF!</definedName>
    <definedName name="fdf" localSheetId="11">#REF!</definedName>
    <definedName name="fdf" localSheetId="12">#REF!</definedName>
    <definedName name="fdf" localSheetId="6">#REF!</definedName>
    <definedName name="fdf" localSheetId="7">#REF!</definedName>
    <definedName name="fdf" localSheetId="8">#REF!</definedName>
    <definedName name="fdf" localSheetId="2">#REF!</definedName>
    <definedName name="fdf" localSheetId="4">#REF!</definedName>
    <definedName name="fdf" localSheetId="3">#REF!</definedName>
    <definedName name="fdf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6">#REF!</definedName>
    <definedName name="G" localSheetId="7">#REF!</definedName>
    <definedName name="G" localSheetId="8">#REF!</definedName>
    <definedName name="G" localSheetId="2">#REF!</definedName>
    <definedName name="G" localSheetId="4">#REF!</definedName>
    <definedName name="G" localSheetId="3">#REF!</definedName>
    <definedName name="G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6">#REF!</definedName>
    <definedName name="H" localSheetId="7">#REF!</definedName>
    <definedName name="H" localSheetId="8">#REF!</definedName>
    <definedName name="H" localSheetId="2">#REF!</definedName>
    <definedName name="H" localSheetId="4">#REF!</definedName>
    <definedName name="H" localSheetId="3">#REF!</definedName>
    <definedName name="H">#REF!</definedName>
    <definedName name="J" localSheetId="9">#REF!</definedName>
    <definedName name="J" localSheetId="10">#REF!</definedName>
    <definedName name="J" localSheetId="11">#REF!</definedName>
    <definedName name="J" localSheetId="12">#REF!</definedName>
    <definedName name="J" localSheetId="6">#REF!</definedName>
    <definedName name="J" localSheetId="7">#REF!</definedName>
    <definedName name="J" localSheetId="8">#REF!</definedName>
    <definedName name="J" localSheetId="2">#REF!</definedName>
    <definedName name="J" localSheetId="4">#REF!</definedName>
    <definedName name="J" localSheetId="3">#REF!</definedName>
    <definedName name="J">#REF!</definedName>
    <definedName name="K" localSheetId="9">#REF!</definedName>
    <definedName name="K" localSheetId="10">#REF!</definedName>
    <definedName name="K" localSheetId="11">#REF!</definedName>
    <definedName name="K" localSheetId="12">#REF!</definedName>
    <definedName name="K" localSheetId="6">#REF!</definedName>
    <definedName name="K" localSheetId="7">#REF!</definedName>
    <definedName name="K" localSheetId="8">#REF!</definedName>
    <definedName name="K" localSheetId="2">#REF!</definedName>
    <definedName name="K" localSheetId="4">#REF!</definedName>
    <definedName name="K" localSheetId="3">#REF!</definedName>
    <definedName name="K">#REF!</definedName>
    <definedName name="L" localSheetId="9">#REF!</definedName>
    <definedName name="L" localSheetId="11">#REF!</definedName>
    <definedName name="L" localSheetId="6">#REF!</definedName>
    <definedName name="L">#REF!</definedName>
    <definedName name="new" localSheetId="9">#REF!</definedName>
    <definedName name="new" localSheetId="10">#REF!</definedName>
    <definedName name="new" localSheetId="11">#REF!</definedName>
    <definedName name="new" localSheetId="12">#REF!</definedName>
    <definedName name="new" localSheetId="6">#REF!</definedName>
    <definedName name="new" localSheetId="7">#REF!</definedName>
    <definedName name="new" localSheetId="8">#REF!</definedName>
    <definedName name="new" localSheetId="2">#REF!</definedName>
    <definedName name="new" localSheetId="4">#REF!</definedName>
    <definedName name="new" localSheetId="3">#REF!</definedName>
    <definedName name="new">#REF!</definedName>
    <definedName name="PAD" localSheetId="9">#REF!</definedName>
    <definedName name="PAD" localSheetId="10">#REF!</definedName>
    <definedName name="PAD" localSheetId="11">#REF!</definedName>
    <definedName name="PAD" localSheetId="12">#REF!</definedName>
    <definedName name="PAD" localSheetId="6">#REF!</definedName>
    <definedName name="PAD" localSheetId="7">#REF!</definedName>
    <definedName name="PAD" localSheetId="8">#REF!</definedName>
    <definedName name="PAD" localSheetId="2">#REF!</definedName>
    <definedName name="PAD" localSheetId="4">#REF!</definedName>
    <definedName name="PAD" localSheetId="3">#REF!</definedName>
    <definedName name="PAD">#REF!</definedName>
    <definedName name="_xlnm.Print_Area" localSheetId="9">'1ST FLOOR BEAMS'!$B$9:$I$59</definedName>
    <definedName name="_xlnm.Print_Area" localSheetId="10">'1ST FLOOR SLAB'!$B$9:$I$409</definedName>
    <definedName name="_xlnm.Print_Area" localSheetId="11">'2ND FLOOR BEAMS'!$B$9:$I$59</definedName>
    <definedName name="_xlnm.Print_Area" localSheetId="12">'2ND FLOOR SLAB'!$B$9:$I$409</definedName>
    <definedName name="_xlnm.Print_Area" localSheetId="5">COLUMNS!$B$9:$I$409</definedName>
    <definedName name="_xlnm.Print_Area" localSheetId="6">'CONCRETE WALLS'!$B$9:$I$59</definedName>
    <definedName name="_xlnm.Print_Area" localSheetId="0">'COVER SHEET'!$A$1:$I$51</definedName>
    <definedName name="_xlnm.Print_Area" localSheetId="7">'P1 LEVEL BEAMS'!$B$9:$I$59</definedName>
    <definedName name="_xlnm.Print_Area" localSheetId="8">'P1 LEVEL SLAB'!$B$9:$I$359</definedName>
    <definedName name="_xlnm.Print_Area" localSheetId="2">'P2-PAD FOOTINGS'!$B$9:$I$62</definedName>
    <definedName name="_xlnm.Print_Area" localSheetId="4">'P2-SLAB ON GRADE'!$B$9:$I$59</definedName>
    <definedName name="_xlnm.Print_Area" localSheetId="3">'P2-WALL FOOTINGS'!$B$9:$I$112</definedName>
    <definedName name="_xlnm.Print_Area" localSheetId="13">STAIRS!$B$9:$I$109</definedName>
    <definedName name="_xlnm.Print_Titles" localSheetId="9">'1ST FLOOR BEAMS'!$1:$8</definedName>
    <definedName name="_xlnm.Print_Titles" localSheetId="10">'1ST FLOOR SLAB'!$1:$8</definedName>
    <definedName name="_xlnm.Print_Titles" localSheetId="11">'2ND FLOOR BEAMS'!$1:$8</definedName>
    <definedName name="_xlnm.Print_Titles" localSheetId="12">'2ND FLOOR SLAB'!$1:$8</definedName>
    <definedName name="_xlnm.Print_Titles" localSheetId="5">COLUMNS!$1:$8</definedName>
    <definedName name="_xlnm.Print_Titles" localSheetId="6">'CONCRETE WALLS'!$1:$8</definedName>
    <definedName name="_xlnm.Print_Titles" localSheetId="0">'COVER SHEET'!$2:$9</definedName>
    <definedName name="_xlnm.Print_Titles" localSheetId="7">'P1 LEVEL BEAMS'!$1:$8</definedName>
    <definedName name="_xlnm.Print_Titles" localSheetId="8">'P1 LEVEL SLAB'!$1:$8</definedName>
    <definedName name="_xlnm.Print_Titles" localSheetId="2">'P2-PAD FOOTINGS'!$1:$8</definedName>
    <definedName name="_xlnm.Print_Titles" localSheetId="4">'P2-SLAB ON GRADE'!$1:$8</definedName>
    <definedName name="_xlnm.Print_Titles" localSheetId="3">'P2-WALL FOOTINGS'!$1:$8</definedName>
    <definedName name="_xlnm.Print_Titles" localSheetId="13">STAIRS!$1:$8</definedName>
    <definedName name="Q" localSheetId="9">#REF!</definedName>
    <definedName name="Q" localSheetId="11">#REF!</definedName>
    <definedName name="Q" localSheetId="6">#REF!</definedName>
    <definedName name="Q">#REF!</definedName>
    <definedName name="QQQQ" localSheetId="12">#REF!</definedName>
    <definedName name="QQQQ" localSheetId="6">#REF!</definedName>
    <definedName name="QQQQ" localSheetId="8">#REF!</definedName>
    <definedName name="QQQQ">#REF!</definedName>
    <definedName name="QWEE" localSheetId="9">#REF!</definedName>
    <definedName name="QWEE" localSheetId="10">#REF!</definedName>
    <definedName name="QWEE" localSheetId="11">#REF!</definedName>
    <definedName name="QWEE" localSheetId="12">#REF!</definedName>
    <definedName name="QWEE" localSheetId="6">#REF!</definedName>
    <definedName name="QWEE" localSheetId="7">#REF!</definedName>
    <definedName name="QWEE" localSheetId="8">#REF!</definedName>
    <definedName name="QWEE" localSheetId="2">#REF!</definedName>
    <definedName name="QWEE" localSheetId="4">#REF!</definedName>
    <definedName name="QWEE" localSheetId="3">#REF!</definedName>
    <definedName name="QWEE">#REF!</definedName>
    <definedName name="QWERTY" localSheetId="9">#REF!</definedName>
    <definedName name="QWERTY" localSheetId="10">#REF!</definedName>
    <definedName name="QWERTY" localSheetId="11">#REF!</definedName>
    <definedName name="QWERTY" localSheetId="12">#REF!</definedName>
    <definedName name="QWERTY" localSheetId="6">#REF!</definedName>
    <definedName name="QWERTY" localSheetId="7">#REF!</definedName>
    <definedName name="QWERTY" localSheetId="8">#REF!</definedName>
    <definedName name="QWERTY" localSheetId="2">#REF!</definedName>
    <definedName name="QWERTY" localSheetId="4">#REF!</definedName>
    <definedName name="QWERTY" localSheetId="3">#REF!</definedName>
    <definedName name="QWERTY">#REF!</definedName>
    <definedName name="RE" localSheetId="9">#REF!</definedName>
    <definedName name="RE" localSheetId="10">#REF!</definedName>
    <definedName name="RE" localSheetId="11">#REF!</definedName>
    <definedName name="RE" localSheetId="12">#REF!</definedName>
    <definedName name="RE" localSheetId="6">#REF!</definedName>
    <definedName name="RE" localSheetId="7">#REF!</definedName>
    <definedName name="RE" localSheetId="8">#REF!</definedName>
    <definedName name="RE" localSheetId="2">#REF!</definedName>
    <definedName name="RE" localSheetId="4">#REF!</definedName>
    <definedName name="RE" localSheetId="3">#REF!</definedName>
    <definedName name="RE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6">#REF!</definedName>
    <definedName name="SD" localSheetId="7">#REF!</definedName>
    <definedName name="SD" localSheetId="8">#REF!</definedName>
    <definedName name="SD" localSheetId="2">#REF!</definedName>
    <definedName name="SD" localSheetId="4">#REF!</definedName>
    <definedName name="SD" localSheetId="3">#REF!</definedName>
    <definedName name="SD">#REF!</definedName>
    <definedName name="SDDDDDDDDDDDDDDDDDD" localSheetId="9">#REF!</definedName>
    <definedName name="SDDDDDDDDDDDDDDDDDD" localSheetId="10">#REF!</definedName>
    <definedName name="SDDDDDDDDDDDDDDDDDD" localSheetId="11">#REF!</definedName>
    <definedName name="SDDDDDDDDDDDDDDDDDD" localSheetId="12">#REF!</definedName>
    <definedName name="SDDDDDDDDDDDDDDDDDD" localSheetId="6">#REF!</definedName>
    <definedName name="SDDDDDDDDDDDDDDDDDD" localSheetId="7">#REF!</definedName>
    <definedName name="SDDDDDDDDDDDDDDDDDD" localSheetId="8">#REF!</definedName>
    <definedName name="SDDDDDDDDDDDDDDDDDD" localSheetId="2">#REF!</definedName>
    <definedName name="SDDDDDDDDDDDDDDDDDD" localSheetId="4">#REF!</definedName>
    <definedName name="SDDDDDDDDDDDDDDDDDD" localSheetId="3">#REF!</definedName>
    <definedName name="SDDDDDDDDDDDDDDDDDD">#REF!</definedName>
    <definedName name="SDFF" localSheetId="9">#REF!</definedName>
    <definedName name="SDFF" localSheetId="10">#REF!</definedName>
    <definedName name="SDFF" localSheetId="11">#REF!</definedName>
    <definedName name="SDFF" localSheetId="12">#REF!</definedName>
    <definedName name="SDFF" localSheetId="6">#REF!</definedName>
    <definedName name="SDFF" localSheetId="7">#REF!</definedName>
    <definedName name="SDFF" localSheetId="8">#REF!</definedName>
    <definedName name="SDFF" localSheetId="2">#REF!</definedName>
    <definedName name="SDFF" localSheetId="4">#REF!</definedName>
    <definedName name="SDFF" localSheetId="3">#REF!</definedName>
    <definedName name="SDFF">#REF!</definedName>
    <definedName name="SECOND" localSheetId="9">#REF!</definedName>
    <definedName name="SECOND" localSheetId="10">#REF!</definedName>
    <definedName name="SECOND" localSheetId="11">#REF!</definedName>
    <definedName name="SECOND" localSheetId="12">#REF!</definedName>
    <definedName name="SECOND" localSheetId="6">#REF!</definedName>
    <definedName name="SECOND" localSheetId="7">#REF!</definedName>
    <definedName name="SECOND" localSheetId="8">#REF!</definedName>
    <definedName name="SECOND" localSheetId="2">#REF!</definedName>
    <definedName name="SECOND" localSheetId="4">#REF!</definedName>
    <definedName name="SECOND" localSheetId="3">#REF!</definedName>
    <definedName name="SECOND">#REF!</definedName>
    <definedName name="THIRD" localSheetId="9">#REF!</definedName>
    <definedName name="THIRD" localSheetId="10">#REF!</definedName>
    <definedName name="THIRD" localSheetId="11">#REF!</definedName>
    <definedName name="THIRD" localSheetId="12">#REF!</definedName>
    <definedName name="THIRD" localSheetId="6">#REF!</definedName>
    <definedName name="THIRD" localSheetId="7">#REF!</definedName>
    <definedName name="THIRD" localSheetId="8">#REF!</definedName>
    <definedName name="THIRD" localSheetId="2">#REF!</definedName>
    <definedName name="THIRD" localSheetId="4">#REF!</definedName>
    <definedName name="THIRD" localSheetId="3">#REF!</definedName>
    <definedName name="THIRD">#REF!</definedName>
    <definedName name="V" localSheetId="9">#REF!</definedName>
    <definedName name="V" localSheetId="11">#REF!</definedName>
    <definedName name="V" localSheetId="6">#REF!</definedName>
    <definedName name="V">#REF!</definedName>
    <definedName name="WALLS" localSheetId="12">#REF!</definedName>
    <definedName name="WALLS" localSheetId="6">#REF!</definedName>
    <definedName name="WALLS" localSheetId="8">#REF!</definedName>
    <definedName name="WALLS">#REF!</definedName>
    <definedName name="WW" localSheetId="9">#REF!</definedName>
    <definedName name="WW" localSheetId="10">#REF!</definedName>
    <definedName name="WW" localSheetId="11">#REF!</definedName>
    <definedName name="WW" localSheetId="12">#REF!</definedName>
    <definedName name="WW" localSheetId="6">#REF!</definedName>
    <definedName name="WW" localSheetId="7">#REF!</definedName>
    <definedName name="WW" localSheetId="8">#REF!</definedName>
    <definedName name="WW" localSheetId="2">#REF!</definedName>
    <definedName name="WW" localSheetId="4">#REF!</definedName>
    <definedName name="WW" localSheetId="3">#REF!</definedName>
    <definedName name="WW">#REF!</definedName>
    <definedName name="WWWWWWWWWWWWWWWWWWWWWWWWWWWWW" localSheetId="9">#REF!</definedName>
    <definedName name="WWWWWWWWWWWWWWWWWWWWWWWWWWWWW" localSheetId="10">#REF!</definedName>
    <definedName name="WWWWWWWWWWWWWWWWWWWWWWWWWWWWW" localSheetId="11">#REF!</definedName>
    <definedName name="WWWWWWWWWWWWWWWWWWWWWWWWWWWWW" localSheetId="12">#REF!</definedName>
    <definedName name="WWWWWWWWWWWWWWWWWWWWWWWWWWWWW" localSheetId="6">#REF!</definedName>
    <definedName name="WWWWWWWWWWWWWWWWWWWWWWWWWWWWW" localSheetId="7">#REF!</definedName>
    <definedName name="WWWWWWWWWWWWWWWWWWWWWWWWWWWWW" localSheetId="8">#REF!</definedName>
    <definedName name="WWWWWWWWWWWWWWWWWWWWWWWWWWWWW" localSheetId="2">#REF!</definedName>
    <definedName name="WWWWWWWWWWWWWWWWWWWWWWWWWWWWW" localSheetId="4">#REF!</definedName>
    <definedName name="WWWWWWWWWWWWWWWWWWWWWWWWWWWWW" localSheetId="3">#REF!</definedName>
    <definedName name="WWWWWWWWWWWWWWWWWWWWWWWWWWWWW">#REF!</definedName>
  </definedNames>
  <calcPr calcId="124519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  <pivotCache cacheId="7" r:id="rId22"/>
    <pivotCache cacheId="8" r:id="rId23"/>
    <pivotCache cacheId="9" r:id="rId24"/>
    <pivotCache cacheId="10" r:id="rId25"/>
    <pivotCache cacheId="11" r:id="rId26"/>
  </pivotCaches>
</workbook>
</file>

<file path=xl/calcChain.xml><?xml version="1.0" encoding="utf-8"?>
<calcChain xmlns="http://schemas.openxmlformats.org/spreadsheetml/2006/main">
  <c r="C202" i="188"/>
  <c r="C198"/>
  <c r="C201"/>
  <c r="C200"/>
  <c r="C199"/>
  <c r="C197"/>
  <c r="C196"/>
  <c r="E192" l="1"/>
  <c r="D192"/>
  <c r="C192"/>
  <c r="B192"/>
  <c r="E191"/>
  <c r="E190"/>
  <c r="E189"/>
  <c r="E188"/>
  <c r="E187"/>
  <c r="E186"/>
  <c r="E185"/>
  <c r="E184"/>
  <c r="E183"/>
  <c r="E182"/>
  <c r="E181"/>
  <c r="B176"/>
  <c r="A21"/>
  <c r="A20"/>
  <c r="A18"/>
  <c r="A16"/>
  <c r="A15"/>
  <c r="A14"/>
  <c r="A13"/>
  <c r="A12"/>
  <c r="A11"/>
  <c r="A10"/>
  <c r="I59" i="187"/>
  <c r="E351" i="181"/>
  <c r="E31" i="187"/>
  <c r="H32"/>
  <c r="E32"/>
  <c r="H34"/>
  <c r="H35"/>
  <c r="E36"/>
  <c r="H36"/>
  <c r="H37"/>
  <c r="E38"/>
  <c r="H38"/>
  <c r="H39"/>
  <c r="E40"/>
  <c r="H40"/>
  <c r="H41"/>
  <c r="E42"/>
  <c r="H42"/>
  <c r="H43"/>
  <c r="E44"/>
  <c r="H44"/>
  <c r="B174" i="188"/>
  <c r="E138"/>
  <c r="B173"/>
  <c r="D35"/>
  <c r="D66"/>
  <c r="D90"/>
  <c r="E151"/>
  <c r="B172"/>
  <c r="E47"/>
  <c r="E78"/>
  <c r="E102"/>
  <c r="D112"/>
  <c r="E124"/>
  <c r="B171"/>
  <c r="B170"/>
  <c r="E56"/>
  <c r="B169"/>
  <c r="B168"/>
  <c r="D160"/>
  <c r="B167"/>
  <c r="B166"/>
  <c r="E49" i="187" l="1"/>
  <c r="H48"/>
  <c r="E48"/>
  <c r="E47"/>
  <c r="H30"/>
  <c r="E30"/>
  <c r="D25"/>
  <c r="H24"/>
  <c r="E24"/>
  <c r="E23"/>
  <c r="D23"/>
  <c r="E21"/>
  <c r="E20"/>
  <c r="E19"/>
  <c r="E18"/>
  <c r="E16"/>
  <c r="E15"/>
  <c r="E14"/>
  <c r="E13"/>
  <c r="E12"/>
  <c r="AK59"/>
  <c r="AK58"/>
  <c r="I58"/>
  <c r="AK57"/>
  <c r="I57" s="1"/>
  <c r="AK56"/>
  <c r="I56"/>
  <c r="AK55"/>
  <c r="I55" s="1"/>
  <c r="AK54"/>
  <c r="I54" s="1"/>
  <c r="AK53"/>
  <c r="I53" s="1"/>
  <c r="AK52"/>
  <c r="I52" s="1"/>
  <c r="AK51"/>
  <c r="I51" s="1"/>
  <c r="AK50"/>
  <c r="I50" s="1"/>
  <c r="AK49"/>
  <c r="I49" s="1"/>
  <c r="AK48"/>
  <c r="I48"/>
  <c r="AK47"/>
  <c r="I47" s="1"/>
  <c r="AK46"/>
  <c r="I46" s="1"/>
  <c r="AK45"/>
  <c r="I45" s="1"/>
  <c r="AK44"/>
  <c r="I44" s="1"/>
  <c r="AK43"/>
  <c r="I43" s="1"/>
  <c r="AK42"/>
  <c r="I42" s="1"/>
  <c r="AK41"/>
  <c r="I41" s="1"/>
  <c r="AK40"/>
  <c r="I40"/>
  <c r="AK39"/>
  <c r="I39" s="1"/>
  <c r="AK38"/>
  <c r="I38" s="1"/>
  <c r="AK37"/>
  <c r="I37" s="1"/>
  <c r="AK36"/>
  <c r="I36" s="1"/>
  <c r="AK35"/>
  <c r="I35" s="1"/>
  <c r="AK34"/>
  <c r="I34" s="1"/>
  <c r="AK33"/>
  <c r="I33" s="1"/>
  <c r="AK32"/>
  <c r="I32"/>
  <c r="AK31"/>
  <c r="I31" s="1"/>
  <c r="AK30"/>
  <c r="I30" s="1"/>
  <c r="AK29"/>
  <c r="I29" s="1"/>
  <c r="AK28"/>
  <c r="I28" s="1"/>
  <c r="AK27"/>
  <c r="I27" s="1"/>
  <c r="AK26"/>
  <c r="I26" s="1"/>
  <c r="AK25"/>
  <c r="I25" s="1"/>
  <c r="AK24"/>
  <c r="I24"/>
  <c r="AK23"/>
  <c r="I23" s="1"/>
  <c r="AK22"/>
  <c r="I22" s="1"/>
  <c r="AK21"/>
  <c r="I21"/>
  <c r="AK20"/>
  <c r="I20" s="1"/>
  <c r="AK19"/>
  <c r="I19" s="1"/>
  <c r="AK18"/>
  <c r="I18" s="1"/>
  <c r="AK17"/>
  <c r="I17"/>
  <c r="AK16"/>
  <c r="I16" s="1"/>
  <c r="AK15"/>
  <c r="I15" s="1"/>
  <c r="AK14"/>
  <c r="I14" s="1"/>
  <c r="AK13"/>
  <c r="I13" s="1"/>
  <c r="AK12"/>
  <c r="I12" s="1"/>
  <c r="AK11"/>
  <c r="I11" s="1"/>
  <c r="AK10"/>
  <c r="I10" s="1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D6"/>
  <c r="D5"/>
  <c r="AK12" i="175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I13" i="18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09" i="177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59" i="176"/>
  <c r="H103" i="178"/>
  <c r="H102"/>
  <c r="E102"/>
  <c r="H101"/>
  <c r="E101"/>
  <c r="H100"/>
  <c r="E100"/>
  <c r="H97"/>
  <c r="H96"/>
  <c r="E96"/>
  <c r="H95"/>
  <c r="E95"/>
  <c r="H94"/>
  <c r="E94"/>
  <c r="D6" i="186"/>
  <c r="D5"/>
  <c r="AK409"/>
  <c r="AK408"/>
  <c r="I408" s="1"/>
  <c r="AK407"/>
  <c r="I407"/>
  <c r="AK406"/>
  <c r="I406" s="1"/>
  <c r="AK405"/>
  <c r="I405" s="1"/>
  <c r="AK404"/>
  <c r="I404" s="1"/>
  <c r="AK403"/>
  <c r="I403" s="1"/>
  <c r="AK402"/>
  <c r="I402"/>
  <c r="AK401"/>
  <c r="I401" s="1"/>
  <c r="AK400"/>
  <c r="I400" s="1"/>
  <c r="AK399"/>
  <c r="I399" s="1"/>
  <c r="AK398"/>
  <c r="I398" s="1"/>
  <c r="AK397"/>
  <c r="I397" s="1"/>
  <c r="AK396"/>
  <c r="I396" s="1"/>
  <c r="AK395"/>
  <c r="I395"/>
  <c r="AK394"/>
  <c r="I394" s="1"/>
  <c r="AK393"/>
  <c r="H393"/>
  <c r="E393"/>
  <c r="I393" s="1"/>
  <c r="AK392"/>
  <c r="I392" s="1"/>
  <c r="AK391"/>
  <c r="I391" s="1"/>
  <c r="AK390"/>
  <c r="I390" s="1"/>
  <c r="H390"/>
  <c r="E390"/>
  <c r="AK389"/>
  <c r="I389" s="1"/>
  <c r="AK388"/>
  <c r="I388" s="1"/>
  <c r="H388"/>
  <c r="E388"/>
  <c r="AK387"/>
  <c r="I387" s="1"/>
  <c r="AK386"/>
  <c r="I386" s="1"/>
  <c r="H386"/>
  <c r="E386"/>
  <c r="AK385"/>
  <c r="I385"/>
  <c r="AK384"/>
  <c r="I384" s="1"/>
  <c r="H384"/>
  <c r="E384"/>
  <c r="AK383"/>
  <c r="I383" s="1"/>
  <c r="AK382"/>
  <c r="I382" s="1"/>
  <c r="AK381"/>
  <c r="I381" s="1"/>
  <c r="H381"/>
  <c r="AK380"/>
  <c r="I380" s="1"/>
  <c r="AK379"/>
  <c r="I379" s="1"/>
  <c r="E379"/>
  <c r="AK378"/>
  <c r="I378" s="1"/>
  <c r="AK377"/>
  <c r="I377"/>
  <c r="H377"/>
  <c r="AK376"/>
  <c r="I376" s="1"/>
  <c r="AK375"/>
  <c r="I375" s="1"/>
  <c r="H375"/>
  <c r="E375"/>
  <c r="AK374"/>
  <c r="I374" s="1"/>
  <c r="AK373"/>
  <c r="I373" s="1"/>
  <c r="H373"/>
  <c r="E373"/>
  <c r="AK372"/>
  <c r="H372"/>
  <c r="E372"/>
  <c r="I372" s="1"/>
  <c r="AK371"/>
  <c r="I371" s="1"/>
  <c r="H371"/>
  <c r="E371"/>
  <c r="AK370"/>
  <c r="H370"/>
  <c r="E370"/>
  <c r="I370" s="1"/>
  <c r="AK369"/>
  <c r="I369" s="1"/>
  <c r="AK368"/>
  <c r="H368"/>
  <c r="E368"/>
  <c r="I368" s="1"/>
  <c r="AK367"/>
  <c r="I367" s="1"/>
  <c r="H367"/>
  <c r="E367"/>
  <c r="AK366"/>
  <c r="I366" s="1"/>
  <c r="AK365"/>
  <c r="I365" s="1"/>
  <c r="H365"/>
  <c r="E365"/>
  <c r="AK364"/>
  <c r="H364"/>
  <c r="E364"/>
  <c r="I364" s="1"/>
  <c r="AK363"/>
  <c r="I363" s="1"/>
  <c r="AK362"/>
  <c r="H362"/>
  <c r="E362"/>
  <c r="I362" s="1"/>
  <c r="AK361"/>
  <c r="I361" s="1"/>
  <c r="H361"/>
  <c r="E361"/>
  <c r="AK360"/>
  <c r="H360"/>
  <c r="E360"/>
  <c r="I360" s="1"/>
  <c r="AK359"/>
  <c r="I359" s="1"/>
  <c r="H359"/>
  <c r="E359"/>
  <c r="AK358"/>
  <c r="I358"/>
  <c r="AK357"/>
  <c r="I357" s="1"/>
  <c r="AK356"/>
  <c r="H356"/>
  <c r="E356"/>
  <c r="I356" s="1"/>
  <c r="AK355"/>
  <c r="I355" s="1"/>
  <c r="H355"/>
  <c r="E355"/>
  <c r="AK354"/>
  <c r="H354"/>
  <c r="E354"/>
  <c r="I354" s="1"/>
  <c r="AK353"/>
  <c r="I353" s="1"/>
  <c r="AK352"/>
  <c r="H352"/>
  <c r="E352"/>
  <c r="I352" s="1"/>
  <c r="AK351"/>
  <c r="I351" s="1"/>
  <c r="H351"/>
  <c r="E351"/>
  <c r="AK350"/>
  <c r="H350"/>
  <c r="E350"/>
  <c r="I350" s="1"/>
  <c r="AK349"/>
  <c r="I349" s="1"/>
  <c r="AK348"/>
  <c r="H348"/>
  <c r="E348"/>
  <c r="I348" s="1"/>
  <c r="AK347"/>
  <c r="I347" s="1"/>
  <c r="H347"/>
  <c r="E347"/>
  <c r="AK346"/>
  <c r="H346"/>
  <c r="E346"/>
  <c r="I346" s="1"/>
  <c r="AK345"/>
  <c r="I345" s="1"/>
  <c r="H345"/>
  <c r="E345"/>
  <c r="AK344"/>
  <c r="H344"/>
  <c r="E344"/>
  <c r="I344" s="1"/>
  <c r="AK343"/>
  <c r="I343" s="1"/>
  <c r="H343"/>
  <c r="E343"/>
  <c r="AK342"/>
  <c r="I342" s="1"/>
  <c r="AK341"/>
  <c r="I341" s="1"/>
  <c r="H341"/>
  <c r="E341"/>
  <c r="AK340"/>
  <c r="H340"/>
  <c r="E340"/>
  <c r="I340" s="1"/>
  <c r="AK339"/>
  <c r="I339" s="1"/>
  <c r="H339"/>
  <c r="E339"/>
  <c r="AK338"/>
  <c r="H338"/>
  <c r="E338"/>
  <c r="I338" s="1"/>
  <c r="AK337"/>
  <c r="I337" s="1"/>
  <c r="H337"/>
  <c r="E337"/>
  <c r="AK336"/>
  <c r="I336" s="1"/>
  <c r="AK335"/>
  <c r="I335" s="1"/>
  <c r="H335"/>
  <c r="E335"/>
  <c r="AK334"/>
  <c r="H334"/>
  <c r="E334"/>
  <c r="I334" s="1"/>
  <c r="AK333"/>
  <c r="I333" s="1"/>
  <c r="H333"/>
  <c r="E333"/>
  <c r="AK332"/>
  <c r="H332"/>
  <c r="E332"/>
  <c r="I332" s="1"/>
  <c r="AK331"/>
  <c r="I331" s="1"/>
  <c r="H331"/>
  <c r="E331"/>
  <c r="AK330"/>
  <c r="H330"/>
  <c r="E330"/>
  <c r="I330" s="1"/>
  <c r="AK329"/>
  <c r="I329" s="1"/>
  <c r="AK328"/>
  <c r="H328"/>
  <c r="E328"/>
  <c r="I328" s="1"/>
  <c r="AK327"/>
  <c r="I327" s="1"/>
  <c r="H327"/>
  <c r="E327"/>
  <c r="AK326"/>
  <c r="H326"/>
  <c r="E326"/>
  <c r="I326" s="1"/>
  <c r="AK325"/>
  <c r="I325" s="1"/>
  <c r="H325"/>
  <c r="E325"/>
  <c r="AK324"/>
  <c r="H324"/>
  <c r="E324"/>
  <c r="I324" s="1"/>
  <c r="AK323"/>
  <c r="I323" s="1"/>
  <c r="H323"/>
  <c r="E323"/>
  <c r="AK322"/>
  <c r="I322"/>
  <c r="AK321"/>
  <c r="I321" s="1"/>
  <c r="H321"/>
  <c r="E321"/>
  <c r="AK320"/>
  <c r="H320"/>
  <c r="E320"/>
  <c r="I320" s="1"/>
  <c r="AK319"/>
  <c r="I319" s="1"/>
  <c r="H319"/>
  <c r="E319"/>
  <c r="AK318"/>
  <c r="H318"/>
  <c r="E318"/>
  <c r="I318" s="1"/>
  <c r="AK317"/>
  <c r="I317" s="1"/>
  <c r="H317"/>
  <c r="E317"/>
  <c r="AK316"/>
  <c r="H316"/>
  <c r="E316"/>
  <c r="I316" s="1"/>
  <c r="AK315"/>
  <c r="I315" s="1"/>
  <c r="AK314"/>
  <c r="I314" s="1"/>
  <c r="H314"/>
  <c r="E314"/>
  <c r="AK313"/>
  <c r="I313" s="1"/>
  <c r="H313"/>
  <c r="E313"/>
  <c r="AK312"/>
  <c r="H312"/>
  <c r="E312"/>
  <c r="I312" s="1"/>
  <c r="AK311"/>
  <c r="I311" s="1"/>
  <c r="H311"/>
  <c r="E311"/>
  <c r="AK310"/>
  <c r="H310"/>
  <c r="E310"/>
  <c r="I310" s="1"/>
  <c r="AK309"/>
  <c r="I309" s="1"/>
  <c r="H309"/>
  <c r="E309"/>
  <c r="AK308"/>
  <c r="I308" s="1"/>
  <c r="AK307"/>
  <c r="I307" s="1"/>
  <c r="H307"/>
  <c r="E307"/>
  <c r="AK306"/>
  <c r="I306" s="1"/>
  <c r="H306"/>
  <c r="E306"/>
  <c r="AK305"/>
  <c r="I305" s="1"/>
  <c r="H305"/>
  <c r="E305"/>
  <c r="AK304"/>
  <c r="I304" s="1"/>
  <c r="H304"/>
  <c r="E304"/>
  <c r="AK303"/>
  <c r="I303" s="1"/>
  <c r="H303"/>
  <c r="E303"/>
  <c r="AK302"/>
  <c r="I302" s="1"/>
  <c r="H302"/>
  <c r="E302"/>
  <c r="AK301"/>
  <c r="I301" s="1"/>
  <c r="AK300"/>
  <c r="I300" s="1"/>
  <c r="H300"/>
  <c r="E300"/>
  <c r="AK299"/>
  <c r="I299" s="1"/>
  <c r="H299"/>
  <c r="E299"/>
  <c r="AK298"/>
  <c r="I298" s="1"/>
  <c r="H298"/>
  <c r="E298"/>
  <c r="AK297"/>
  <c r="I297" s="1"/>
  <c r="H297"/>
  <c r="E297"/>
  <c r="AK296"/>
  <c r="I296" s="1"/>
  <c r="H296"/>
  <c r="E296"/>
  <c r="AK295"/>
  <c r="I295" s="1"/>
  <c r="H295"/>
  <c r="E295"/>
  <c r="AK294"/>
  <c r="I294" s="1"/>
  <c r="AK293"/>
  <c r="I293" s="1"/>
  <c r="H293"/>
  <c r="E293"/>
  <c r="AK292"/>
  <c r="I292" s="1"/>
  <c r="H292"/>
  <c r="E292"/>
  <c r="AK291"/>
  <c r="I291" s="1"/>
  <c r="H291"/>
  <c r="E291"/>
  <c r="AK290"/>
  <c r="I290" s="1"/>
  <c r="H290"/>
  <c r="E290"/>
  <c r="AK289"/>
  <c r="I289" s="1"/>
  <c r="H289"/>
  <c r="E289"/>
  <c r="AK288"/>
  <c r="I288"/>
  <c r="AK287"/>
  <c r="I287" s="1"/>
  <c r="AK286"/>
  <c r="I286" s="1"/>
  <c r="H286"/>
  <c r="E286"/>
  <c r="AK285"/>
  <c r="I285" s="1"/>
  <c r="H285"/>
  <c r="E285"/>
  <c r="AK284"/>
  <c r="I284" s="1"/>
  <c r="H284"/>
  <c r="E284"/>
  <c r="AK283"/>
  <c r="I283" s="1"/>
  <c r="AK282"/>
  <c r="I282" s="1"/>
  <c r="H282"/>
  <c r="E282"/>
  <c r="AK281"/>
  <c r="I281" s="1"/>
  <c r="H281"/>
  <c r="E281"/>
  <c r="AK280"/>
  <c r="I280" s="1"/>
  <c r="H280"/>
  <c r="E280"/>
  <c r="AK279"/>
  <c r="I279"/>
  <c r="AK278"/>
  <c r="I278" s="1"/>
  <c r="H278"/>
  <c r="E278"/>
  <c r="AK277"/>
  <c r="I277" s="1"/>
  <c r="H277"/>
  <c r="E277"/>
  <c r="AK276"/>
  <c r="I276" s="1"/>
  <c r="H276"/>
  <c r="E276"/>
  <c r="AK275"/>
  <c r="I275" s="1"/>
  <c r="H275"/>
  <c r="E275"/>
  <c r="AK274"/>
  <c r="I274" s="1"/>
  <c r="H274"/>
  <c r="E274"/>
  <c r="AK273"/>
  <c r="I273" s="1"/>
  <c r="AK272"/>
  <c r="I272" s="1"/>
  <c r="AK271"/>
  <c r="I271" s="1"/>
  <c r="H271"/>
  <c r="E271"/>
  <c r="AK270"/>
  <c r="I270" s="1"/>
  <c r="H270"/>
  <c r="E270"/>
  <c r="AK269"/>
  <c r="I269" s="1"/>
  <c r="H269"/>
  <c r="E269"/>
  <c r="AK268"/>
  <c r="I268" s="1"/>
  <c r="AK267"/>
  <c r="I267" s="1"/>
  <c r="H267"/>
  <c r="AK266"/>
  <c r="I266" s="1"/>
  <c r="H266"/>
  <c r="E266"/>
  <c r="AK265"/>
  <c r="H265"/>
  <c r="I265" s="1"/>
  <c r="E265"/>
  <c r="AK264"/>
  <c r="I264" s="1"/>
  <c r="H264"/>
  <c r="E264"/>
  <c r="AK263"/>
  <c r="H263"/>
  <c r="E263"/>
  <c r="I263" s="1"/>
  <c r="AK262"/>
  <c r="I262" s="1"/>
  <c r="AK261"/>
  <c r="H261"/>
  <c r="E261"/>
  <c r="I261" s="1"/>
  <c r="AK260"/>
  <c r="I260" s="1"/>
  <c r="H260"/>
  <c r="E260"/>
  <c r="AK259"/>
  <c r="H259"/>
  <c r="E259"/>
  <c r="I259" s="1"/>
  <c r="AK258"/>
  <c r="I258" s="1"/>
  <c r="H258"/>
  <c r="E258"/>
  <c r="AK257"/>
  <c r="H257"/>
  <c r="E257"/>
  <c r="I257" s="1"/>
  <c r="AK256"/>
  <c r="I256" s="1"/>
  <c r="AK255"/>
  <c r="H255"/>
  <c r="E255"/>
  <c r="AK254"/>
  <c r="I254" s="1"/>
  <c r="H254"/>
  <c r="E254"/>
  <c r="AK253"/>
  <c r="H253"/>
  <c r="E253"/>
  <c r="I253" s="1"/>
  <c r="AK252"/>
  <c r="I252" s="1"/>
  <c r="H252"/>
  <c r="E252"/>
  <c r="AK251"/>
  <c r="H251"/>
  <c r="E251"/>
  <c r="I251" s="1"/>
  <c r="AK250"/>
  <c r="I250" s="1"/>
  <c r="AK249"/>
  <c r="H249"/>
  <c r="E249"/>
  <c r="I249" s="1"/>
  <c r="AK248"/>
  <c r="I248" s="1"/>
  <c r="H248"/>
  <c r="E248"/>
  <c r="AK247"/>
  <c r="H247"/>
  <c r="E247"/>
  <c r="I247" s="1"/>
  <c r="AK246"/>
  <c r="I246" s="1"/>
  <c r="H246"/>
  <c r="E246"/>
  <c r="AK245"/>
  <c r="H245"/>
  <c r="E245"/>
  <c r="I245" s="1"/>
  <c r="AK244"/>
  <c r="I244" s="1"/>
  <c r="AK243"/>
  <c r="H243"/>
  <c r="E243"/>
  <c r="I243" s="1"/>
  <c r="AK242"/>
  <c r="I242" s="1"/>
  <c r="H242"/>
  <c r="E242"/>
  <c r="AK241"/>
  <c r="H241"/>
  <c r="E241"/>
  <c r="I241" s="1"/>
  <c r="AK240"/>
  <c r="I240" s="1"/>
  <c r="H240"/>
  <c r="E240"/>
  <c r="AK239"/>
  <c r="H239"/>
  <c r="E239"/>
  <c r="I239" s="1"/>
  <c r="AK238"/>
  <c r="I238" s="1"/>
  <c r="AK237"/>
  <c r="H237"/>
  <c r="E237"/>
  <c r="I237" s="1"/>
  <c r="AK236"/>
  <c r="I236" s="1"/>
  <c r="H236"/>
  <c r="E236"/>
  <c r="AK235"/>
  <c r="H235"/>
  <c r="E235"/>
  <c r="I235" s="1"/>
  <c r="AK234"/>
  <c r="I234" s="1"/>
  <c r="H234"/>
  <c r="E234"/>
  <c r="AK233"/>
  <c r="H233"/>
  <c r="E233"/>
  <c r="I233" s="1"/>
  <c r="AK232"/>
  <c r="I232" s="1"/>
  <c r="AK231"/>
  <c r="H231"/>
  <c r="E231"/>
  <c r="I231" s="1"/>
  <c r="AK230"/>
  <c r="I230" s="1"/>
  <c r="H230"/>
  <c r="E230"/>
  <c r="AK229"/>
  <c r="H229"/>
  <c r="E229"/>
  <c r="I229" s="1"/>
  <c r="AK228"/>
  <c r="I228" s="1"/>
  <c r="H228"/>
  <c r="E228"/>
  <c r="AK227"/>
  <c r="H227"/>
  <c r="E227"/>
  <c r="I227" s="1"/>
  <c r="AK226"/>
  <c r="I226" s="1"/>
  <c r="AK225"/>
  <c r="H225"/>
  <c r="E225"/>
  <c r="I225" s="1"/>
  <c r="AK224"/>
  <c r="I224" s="1"/>
  <c r="H224"/>
  <c r="E224"/>
  <c r="AK223"/>
  <c r="H223"/>
  <c r="E223"/>
  <c r="I223" s="1"/>
  <c r="AK222"/>
  <c r="I222" s="1"/>
  <c r="H222"/>
  <c r="E222"/>
  <c r="AK221"/>
  <c r="H221"/>
  <c r="E221"/>
  <c r="I221" s="1"/>
  <c r="AK220"/>
  <c r="I220" s="1"/>
  <c r="AK219"/>
  <c r="H219"/>
  <c r="E219"/>
  <c r="I219" s="1"/>
  <c r="AK218"/>
  <c r="I218" s="1"/>
  <c r="H218"/>
  <c r="E218"/>
  <c r="AK217"/>
  <c r="H217"/>
  <c r="E217"/>
  <c r="I217" s="1"/>
  <c r="AK216"/>
  <c r="I216" s="1"/>
  <c r="H216"/>
  <c r="E216"/>
  <c r="AK215"/>
  <c r="H215"/>
  <c r="E215"/>
  <c r="I215" s="1"/>
  <c r="AK214"/>
  <c r="I214" s="1"/>
  <c r="AK213"/>
  <c r="H213"/>
  <c r="E213"/>
  <c r="I213" s="1"/>
  <c r="AK212"/>
  <c r="I212" s="1"/>
  <c r="H212"/>
  <c r="E212"/>
  <c r="AK211"/>
  <c r="H211"/>
  <c r="E211"/>
  <c r="I211" s="1"/>
  <c r="AK210"/>
  <c r="I210" s="1"/>
  <c r="H210"/>
  <c r="E210"/>
  <c r="AK209"/>
  <c r="H209"/>
  <c r="E209"/>
  <c r="I209" s="1"/>
  <c r="AK208"/>
  <c r="I208" s="1"/>
  <c r="AK207"/>
  <c r="I207" s="1"/>
  <c r="AK206"/>
  <c r="I206" s="1"/>
  <c r="H206"/>
  <c r="E206"/>
  <c r="AK205"/>
  <c r="L205"/>
  <c r="H205"/>
  <c r="I205" s="1"/>
  <c r="E205"/>
  <c r="AK204"/>
  <c r="H204"/>
  <c r="E204"/>
  <c r="I204" s="1"/>
  <c r="AK203"/>
  <c r="I203" s="1"/>
  <c r="H203"/>
  <c r="E203"/>
  <c r="AK202"/>
  <c r="H202"/>
  <c r="E202"/>
  <c r="I202" s="1"/>
  <c r="AK201"/>
  <c r="I201" s="1"/>
  <c r="E201"/>
  <c r="AK200"/>
  <c r="I200" s="1"/>
  <c r="H200"/>
  <c r="E200"/>
  <c r="AK199"/>
  <c r="H199"/>
  <c r="E199"/>
  <c r="I199" s="1"/>
  <c r="AK198"/>
  <c r="I198" s="1"/>
  <c r="H198"/>
  <c r="E198"/>
  <c r="AK197"/>
  <c r="I197"/>
  <c r="E197"/>
  <c r="AK196"/>
  <c r="H196"/>
  <c r="E196"/>
  <c r="I196" s="1"/>
  <c r="AK195"/>
  <c r="I195" s="1"/>
  <c r="H195"/>
  <c r="E195"/>
  <c r="AK194"/>
  <c r="I194" s="1"/>
  <c r="AK193"/>
  <c r="I193" s="1"/>
  <c r="H193"/>
  <c r="E193"/>
  <c r="AK192"/>
  <c r="H192"/>
  <c r="E192"/>
  <c r="I192" s="1"/>
  <c r="AK191"/>
  <c r="I191" s="1"/>
  <c r="E191"/>
  <c r="AK190"/>
  <c r="I190" s="1"/>
  <c r="H190"/>
  <c r="E190"/>
  <c r="AK189"/>
  <c r="H189"/>
  <c r="E189"/>
  <c r="I189" s="1"/>
  <c r="AK188"/>
  <c r="I188" s="1"/>
  <c r="H188"/>
  <c r="E188"/>
  <c r="AK187"/>
  <c r="H187"/>
  <c r="E187"/>
  <c r="I187" s="1"/>
  <c r="AK186"/>
  <c r="I186" s="1"/>
  <c r="H186"/>
  <c r="E186"/>
  <c r="AK185"/>
  <c r="H185"/>
  <c r="E185"/>
  <c r="I185" s="1"/>
  <c r="AK184"/>
  <c r="I184" s="1"/>
  <c r="AK183"/>
  <c r="H183"/>
  <c r="E183"/>
  <c r="I183" s="1"/>
  <c r="AK182"/>
  <c r="I182" s="1"/>
  <c r="H182"/>
  <c r="E182"/>
  <c r="AK181"/>
  <c r="H181"/>
  <c r="E181"/>
  <c r="I181" s="1"/>
  <c r="AK180"/>
  <c r="I180" s="1"/>
  <c r="E180"/>
  <c r="AK179"/>
  <c r="I179" s="1"/>
  <c r="H179"/>
  <c r="E179"/>
  <c r="AK178"/>
  <c r="H178"/>
  <c r="E178"/>
  <c r="I178" s="1"/>
  <c r="AK177"/>
  <c r="I177" s="1"/>
  <c r="H177"/>
  <c r="E177"/>
  <c r="AK176"/>
  <c r="I176" s="1"/>
  <c r="E176"/>
  <c r="AK175"/>
  <c r="H175"/>
  <c r="E175"/>
  <c r="I175" s="1"/>
  <c r="AK174"/>
  <c r="I174" s="1"/>
  <c r="H174"/>
  <c r="E174"/>
  <c r="AK173"/>
  <c r="I173" s="1"/>
  <c r="AK172"/>
  <c r="I172" s="1"/>
  <c r="H172"/>
  <c r="E172"/>
  <c r="AK171"/>
  <c r="H171"/>
  <c r="I171" s="1"/>
  <c r="E171"/>
  <c r="AK170"/>
  <c r="I170" s="1"/>
  <c r="H170"/>
  <c r="E170"/>
  <c r="AK169"/>
  <c r="H169"/>
  <c r="E169"/>
  <c r="I169" s="1"/>
  <c r="AK168"/>
  <c r="I168" s="1"/>
  <c r="H168"/>
  <c r="E168"/>
  <c r="AK167"/>
  <c r="H167"/>
  <c r="E167"/>
  <c r="I167" s="1"/>
  <c r="AK166"/>
  <c r="I166" s="1"/>
  <c r="AK165"/>
  <c r="E165"/>
  <c r="I165" s="1"/>
  <c r="AK164"/>
  <c r="I164" s="1"/>
  <c r="H164"/>
  <c r="E164"/>
  <c r="AK163"/>
  <c r="I163" s="1"/>
  <c r="E163"/>
  <c r="AK162"/>
  <c r="I162" s="1"/>
  <c r="E162"/>
  <c r="AK161"/>
  <c r="I161" s="1"/>
  <c r="H161"/>
  <c r="E161"/>
  <c r="AK160"/>
  <c r="H160"/>
  <c r="E160"/>
  <c r="I160" s="1"/>
  <c r="AK159"/>
  <c r="I159" s="1"/>
  <c r="H159"/>
  <c r="E159"/>
  <c r="AK158"/>
  <c r="H158"/>
  <c r="E158"/>
  <c r="I158" s="1"/>
  <c r="AK157"/>
  <c r="I157" s="1"/>
  <c r="H157"/>
  <c r="E157"/>
  <c r="AK156"/>
  <c r="H156"/>
  <c r="E156"/>
  <c r="I156" s="1"/>
  <c r="AK155"/>
  <c r="I155" s="1"/>
  <c r="AK154"/>
  <c r="I154"/>
  <c r="E154"/>
  <c r="AK153"/>
  <c r="I153" s="1"/>
  <c r="E153"/>
  <c r="AK152"/>
  <c r="I152" s="1"/>
  <c r="E152"/>
  <c r="AK151"/>
  <c r="I151" s="1"/>
  <c r="E151"/>
  <c r="AK150"/>
  <c r="I150"/>
  <c r="E150"/>
  <c r="AK149"/>
  <c r="H149"/>
  <c r="E149"/>
  <c r="I149" s="1"/>
  <c r="AK148"/>
  <c r="I148" s="1"/>
  <c r="H148"/>
  <c r="E148"/>
  <c r="AK147"/>
  <c r="H147"/>
  <c r="E147"/>
  <c r="I147" s="1"/>
  <c r="AK146"/>
  <c r="I146" s="1"/>
  <c r="H146"/>
  <c r="E146"/>
  <c r="AK145"/>
  <c r="I145" s="1"/>
  <c r="E145"/>
  <c r="AK144"/>
  <c r="H144"/>
  <c r="E144"/>
  <c r="I144" s="1"/>
  <c r="AK143"/>
  <c r="I143" s="1"/>
  <c r="AK142"/>
  <c r="I142" s="1"/>
  <c r="E142"/>
  <c r="AK141"/>
  <c r="H141"/>
  <c r="E141"/>
  <c r="I141" s="1"/>
  <c r="AK140"/>
  <c r="I140" s="1"/>
  <c r="E140"/>
  <c r="AK139"/>
  <c r="I139" s="1"/>
  <c r="H139"/>
  <c r="E139"/>
  <c r="AK138"/>
  <c r="H138"/>
  <c r="E138"/>
  <c r="I138" s="1"/>
  <c r="AK137"/>
  <c r="I137" s="1"/>
  <c r="H137"/>
  <c r="E137"/>
  <c r="AK136"/>
  <c r="H136"/>
  <c r="E136"/>
  <c r="I136" s="1"/>
  <c r="AK135"/>
  <c r="I135" s="1"/>
  <c r="E135"/>
  <c r="AK134"/>
  <c r="I134" s="1"/>
  <c r="AK133"/>
  <c r="I133" s="1"/>
  <c r="E133"/>
  <c r="AK132"/>
  <c r="H132"/>
  <c r="E132"/>
  <c r="I132" s="1"/>
  <c r="AK131"/>
  <c r="I131" s="1"/>
  <c r="E131"/>
  <c r="AK130"/>
  <c r="I130" s="1"/>
  <c r="H130"/>
  <c r="E130"/>
  <c r="AK129"/>
  <c r="H129"/>
  <c r="E129"/>
  <c r="I129" s="1"/>
  <c r="AK128"/>
  <c r="I128" s="1"/>
  <c r="H128"/>
  <c r="E128"/>
  <c r="AK127"/>
  <c r="I127"/>
  <c r="AK126"/>
  <c r="I126" s="1"/>
  <c r="H126"/>
  <c r="E126"/>
  <c r="AK125"/>
  <c r="H125"/>
  <c r="E125"/>
  <c r="I125" s="1"/>
  <c r="AK124"/>
  <c r="I124" s="1"/>
  <c r="H124"/>
  <c r="E124"/>
  <c r="AK123"/>
  <c r="H123"/>
  <c r="E123"/>
  <c r="I123" s="1"/>
  <c r="AK122"/>
  <c r="I122" s="1"/>
  <c r="H122"/>
  <c r="E122"/>
  <c r="AK121"/>
  <c r="H121"/>
  <c r="E121"/>
  <c r="I121" s="1"/>
  <c r="AK120"/>
  <c r="I120" s="1"/>
  <c r="AK119"/>
  <c r="H119"/>
  <c r="E119"/>
  <c r="I119" s="1"/>
  <c r="AK118"/>
  <c r="I118" s="1"/>
  <c r="H118"/>
  <c r="E118"/>
  <c r="AK117"/>
  <c r="H117"/>
  <c r="E117"/>
  <c r="I117" s="1"/>
  <c r="AK116"/>
  <c r="I116" s="1"/>
  <c r="H116"/>
  <c r="E116"/>
  <c r="AK115"/>
  <c r="H115"/>
  <c r="E115"/>
  <c r="I115" s="1"/>
  <c r="AK114"/>
  <c r="I114" s="1"/>
  <c r="AK113"/>
  <c r="H113"/>
  <c r="E113"/>
  <c r="I113" s="1"/>
  <c r="AK112"/>
  <c r="I112" s="1"/>
  <c r="H112"/>
  <c r="E112"/>
  <c r="AK111"/>
  <c r="H111"/>
  <c r="E111"/>
  <c r="I111" s="1"/>
  <c r="AK110"/>
  <c r="I110" s="1"/>
  <c r="H110"/>
  <c r="E110"/>
  <c r="AK109"/>
  <c r="H109"/>
  <c r="E109"/>
  <c r="I109" s="1"/>
  <c r="AK108"/>
  <c r="I108" s="1"/>
  <c r="AK107"/>
  <c r="I107" s="1"/>
  <c r="AK106"/>
  <c r="I106" s="1"/>
  <c r="H106"/>
  <c r="E106"/>
  <c r="AK105"/>
  <c r="H105"/>
  <c r="E105"/>
  <c r="I105" s="1"/>
  <c r="AK104"/>
  <c r="I104" s="1"/>
  <c r="H104"/>
  <c r="E104"/>
  <c r="AK103"/>
  <c r="H103"/>
  <c r="E103"/>
  <c r="I103" s="1"/>
  <c r="AK102"/>
  <c r="I102" s="1"/>
  <c r="H102"/>
  <c r="E102"/>
  <c r="AK101"/>
  <c r="H101"/>
  <c r="E101"/>
  <c r="I101" s="1"/>
  <c r="AK100"/>
  <c r="I100" s="1"/>
  <c r="H100"/>
  <c r="E100"/>
  <c r="AK99"/>
  <c r="I99" s="1"/>
  <c r="AK98"/>
  <c r="I98" s="1"/>
  <c r="H98"/>
  <c r="E98"/>
  <c r="AK97"/>
  <c r="H97"/>
  <c r="E97"/>
  <c r="I97" s="1"/>
  <c r="AK96"/>
  <c r="I96" s="1"/>
  <c r="H96"/>
  <c r="E96"/>
  <c r="AK95"/>
  <c r="H95"/>
  <c r="E95"/>
  <c r="I95" s="1"/>
  <c r="AK94"/>
  <c r="I94" s="1"/>
  <c r="H94"/>
  <c r="E94"/>
  <c r="AK93"/>
  <c r="H93"/>
  <c r="E93"/>
  <c r="I93" s="1"/>
  <c r="AK92"/>
  <c r="I92" s="1"/>
  <c r="H92"/>
  <c r="E92"/>
  <c r="AK91"/>
  <c r="H91"/>
  <c r="E91"/>
  <c r="I91" s="1"/>
  <c r="AK90"/>
  <c r="I90" s="1"/>
  <c r="AK89"/>
  <c r="H89"/>
  <c r="E89"/>
  <c r="I89" s="1"/>
  <c r="AK88"/>
  <c r="I88" s="1"/>
  <c r="H88"/>
  <c r="E88"/>
  <c r="AK87"/>
  <c r="H87"/>
  <c r="E87"/>
  <c r="I87" s="1"/>
  <c r="AK86"/>
  <c r="I86" s="1"/>
  <c r="H86"/>
  <c r="E86"/>
  <c r="AK85"/>
  <c r="H85"/>
  <c r="E85"/>
  <c r="I85" s="1"/>
  <c r="AK84"/>
  <c r="I84" s="1"/>
  <c r="H84"/>
  <c r="E84"/>
  <c r="AK83"/>
  <c r="H83"/>
  <c r="E83"/>
  <c r="I83" s="1"/>
  <c r="AK82"/>
  <c r="I82" s="1"/>
  <c r="H82"/>
  <c r="E82"/>
  <c r="AK81"/>
  <c r="H81"/>
  <c r="E81"/>
  <c r="I81" s="1"/>
  <c r="AK80"/>
  <c r="I80" s="1"/>
  <c r="AK79"/>
  <c r="I79" s="1"/>
  <c r="E79"/>
  <c r="AK78"/>
  <c r="H78"/>
  <c r="E78"/>
  <c r="I78" s="1"/>
  <c r="AK77"/>
  <c r="I77" s="1"/>
  <c r="H77"/>
  <c r="E77"/>
  <c r="AK76"/>
  <c r="H76"/>
  <c r="E76"/>
  <c r="I76" s="1"/>
  <c r="AK75"/>
  <c r="I75" s="1"/>
  <c r="H75"/>
  <c r="E75"/>
  <c r="AK74"/>
  <c r="H74"/>
  <c r="E74"/>
  <c r="I74" s="1"/>
  <c r="AK73"/>
  <c r="I73" s="1"/>
  <c r="H73"/>
  <c r="E73"/>
  <c r="AK72"/>
  <c r="H72"/>
  <c r="E72"/>
  <c r="I72" s="1"/>
  <c r="AK71"/>
  <c r="I71" s="1"/>
  <c r="H71"/>
  <c r="E71"/>
  <c r="AK70"/>
  <c r="I70"/>
  <c r="AK69"/>
  <c r="I69" s="1"/>
  <c r="H69"/>
  <c r="E69"/>
  <c r="AK68"/>
  <c r="H68"/>
  <c r="E68"/>
  <c r="I68" s="1"/>
  <c r="AK67"/>
  <c r="I67" s="1"/>
  <c r="H67"/>
  <c r="E67"/>
  <c r="AK66"/>
  <c r="H66"/>
  <c r="E66"/>
  <c r="I66" s="1"/>
  <c r="AK65"/>
  <c r="I65" s="1"/>
  <c r="H65"/>
  <c r="E65"/>
  <c r="AK64"/>
  <c r="H64"/>
  <c r="E64"/>
  <c r="I64" s="1"/>
  <c r="AK63"/>
  <c r="I63" s="1"/>
  <c r="H63"/>
  <c r="E63"/>
  <c r="AK62"/>
  <c r="H62"/>
  <c r="E62"/>
  <c r="I62" s="1"/>
  <c r="AK61"/>
  <c r="I61" s="1"/>
  <c r="AK60"/>
  <c r="H60"/>
  <c r="E60"/>
  <c r="I60" s="1"/>
  <c r="AK59"/>
  <c r="I59" s="1"/>
  <c r="H59"/>
  <c r="E59"/>
  <c r="AK58"/>
  <c r="H58"/>
  <c r="E58"/>
  <c r="I58" s="1"/>
  <c r="AK57"/>
  <c r="I57" s="1"/>
  <c r="H57"/>
  <c r="E57"/>
  <c r="AK56"/>
  <c r="H56"/>
  <c r="E56"/>
  <c r="I56" s="1"/>
  <c r="AK55"/>
  <c r="I55" s="1"/>
  <c r="H55"/>
  <c r="E55"/>
  <c r="AK54"/>
  <c r="H54"/>
  <c r="E54"/>
  <c r="I54" s="1"/>
  <c r="AK53"/>
  <c r="I53" s="1"/>
  <c r="H53"/>
  <c r="E53"/>
  <c r="AK52"/>
  <c r="H52"/>
  <c r="E52"/>
  <c r="I52" s="1"/>
  <c r="AK51"/>
  <c r="I51" s="1"/>
  <c r="H51"/>
  <c r="E51"/>
  <c r="AK50"/>
  <c r="H50"/>
  <c r="E50"/>
  <c r="I50" s="1"/>
  <c r="AK49"/>
  <c r="I49" s="1"/>
  <c r="H49"/>
  <c r="E49"/>
  <c r="AK48"/>
  <c r="H48"/>
  <c r="E48"/>
  <c r="I48" s="1"/>
  <c r="AK47"/>
  <c r="I47" s="1"/>
  <c r="AK46"/>
  <c r="H46"/>
  <c r="E46"/>
  <c r="I46" s="1"/>
  <c r="AK45"/>
  <c r="I45" s="1"/>
  <c r="H45"/>
  <c r="E45"/>
  <c r="AK44"/>
  <c r="H44"/>
  <c r="E44"/>
  <c r="I44" s="1"/>
  <c r="AK43"/>
  <c r="I43" s="1"/>
  <c r="H43"/>
  <c r="E43"/>
  <c r="AK42"/>
  <c r="H42"/>
  <c r="E42"/>
  <c r="I42" s="1"/>
  <c r="AK41"/>
  <c r="I41" s="1"/>
  <c r="H41"/>
  <c r="E41"/>
  <c r="AK40"/>
  <c r="H40"/>
  <c r="E40"/>
  <c r="I40" s="1"/>
  <c r="AK39"/>
  <c r="I39" s="1"/>
  <c r="H39"/>
  <c r="E39"/>
  <c r="AK38"/>
  <c r="I38" s="1"/>
  <c r="AK37"/>
  <c r="I37" s="1"/>
  <c r="H37"/>
  <c r="E37"/>
  <c r="AK36"/>
  <c r="H36"/>
  <c r="E36"/>
  <c r="I36" s="1"/>
  <c r="AK35"/>
  <c r="I35" s="1"/>
  <c r="H35"/>
  <c r="E35"/>
  <c r="AK34"/>
  <c r="H34"/>
  <c r="E34"/>
  <c r="I34" s="1"/>
  <c r="AK33"/>
  <c r="I33" s="1"/>
  <c r="H33"/>
  <c r="E33"/>
  <c r="AK32"/>
  <c r="I32" s="1"/>
  <c r="AK31"/>
  <c r="I31" s="1"/>
  <c r="AK30"/>
  <c r="H30"/>
  <c r="E30"/>
  <c r="I30" s="1"/>
  <c r="AK29"/>
  <c r="I29" s="1"/>
  <c r="H29"/>
  <c r="E29"/>
  <c r="AK28"/>
  <c r="H28"/>
  <c r="E28"/>
  <c r="I28" s="1"/>
  <c r="AK27"/>
  <c r="I27" s="1"/>
  <c r="H27"/>
  <c r="E27"/>
  <c r="AK26"/>
  <c r="H26"/>
  <c r="E26"/>
  <c r="I26" s="1"/>
  <c r="AK25"/>
  <c r="I25" s="1"/>
  <c r="H25"/>
  <c r="E25"/>
  <c r="AK24"/>
  <c r="I24" s="1"/>
  <c r="AK23"/>
  <c r="I23" s="1"/>
  <c r="H23"/>
  <c r="E23"/>
  <c r="AK22"/>
  <c r="H22"/>
  <c r="E22"/>
  <c r="I22" s="1"/>
  <c r="AK21"/>
  <c r="I21" s="1"/>
  <c r="H21"/>
  <c r="E21"/>
  <c r="AK20"/>
  <c r="H20"/>
  <c r="E20"/>
  <c r="I20" s="1"/>
  <c r="AK19"/>
  <c r="I19" s="1"/>
  <c r="H19"/>
  <c r="E19"/>
  <c r="AK18"/>
  <c r="H18"/>
  <c r="E18"/>
  <c r="I18" s="1"/>
  <c r="AK17"/>
  <c r="I17" s="1"/>
  <c r="AK16"/>
  <c r="H16"/>
  <c r="E16"/>
  <c r="I16" s="1"/>
  <c r="AK15"/>
  <c r="I15" s="1"/>
  <c r="H15"/>
  <c r="E15"/>
  <c r="AK14"/>
  <c r="H14"/>
  <c r="E14"/>
  <c r="I14" s="1"/>
  <c r="AK13"/>
  <c r="I13" s="1"/>
  <c r="H13"/>
  <c r="E13"/>
  <c r="AK12"/>
  <c r="H12"/>
  <c r="E12"/>
  <c r="I12" s="1"/>
  <c r="AK11"/>
  <c r="I11" s="1"/>
  <c r="AK10"/>
  <c r="I10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I255" l="1"/>
  <c r="I409"/>
  <c r="I63" i="187" l="1"/>
  <c r="K8" s="1"/>
  <c r="I413" i="186"/>
  <c r="K8" s="1"/>
  <c r="D6" i="185"/>
  <c r="D5"/>
  <c r="AK409"/>
  <c r="AK408"/>
  <c r="I408" s="1"/>
  <c r="AK407"/>
  <c r="I407" s="1"/>
  <c r="AK406"/>
  <c r="I406" s="1"/>
  <c r="AK405"/>
  <c r="I405" s="1"/>
  <c r="AK404"/>
  <c r="I404"/>
  <c r="AK403"/>
  <c r="I403" s="1"/>
  <c r="AK402"/>
  <c r="I402" s="1"/>
  <c r="AK401"/>
  <c r="I401" s="1"/>
  <c r="AK400"/>
  <c r="I400" s="1"/>
  <c r="AK399"/>
  <c r="I399" s="1"/>
  <c r="AK398"/>
  <c r="I398" s="1"/>
  <c r="AK397"/>
  <c r="I397" s="1"/>
  <c r="AK396"/>
  <c r="I396"/>
  <c r="AK395"/>
  <c r="I395" s="1"/>
  <c r="AK394"/>
  <c r="H394"/>
  <c r="E394"/>
  <c r="I394" s="1"/>
  <c r="AK393"/>
  <c r="I393" s="1"/>
  <c r="AK392"/>
  <c r="I392" s="1"/>
  <c r="H392"/>
  <c r="AK391"/>
  <c r="I391" s="1"/>
  <c r="AK390"/>
  <c r="I390" s="1"/>
  <c r="AK389"/>
  <c r="I389" s="1"/>
  <c r="AK388"/>
  <c r="I388" s="1"/>
  <c r="AK387"/>
  <c r="I387"/>
  <c r="AK386"/>
  <c r="I386" s="1"/>
  <c r="H386"/>
  <c r="E386"/>
  <c r="AK385"/>
  <c r="H385"/>
  <c r="E385"/>
  <c r="I385" s="1"/>
  <c r="AK384"/>
  <c r="I384" s="1"/>
  <c r="AK383"/>
  <c r="H383"/>
  <c r="E383"/>
  <c r="I383" s="1"/>
  <c r="AK382"/>
  <c r="I382" s="1"/>
  <c r="H382"/>
  <c r="E382"/>
  <c r="AK381"/>
  <c r="I381" s="1"/>
  <c r="E381"/>
  <c r="AK380"/>
  <c r="H380"/>
  <c r="E380"/>
  <c r="I380" s="1"/>
  <c r="AK379"/>
  <c r="I379" s="1"/>
  <c r="H379"/>
  <c r="E379"/>
  <c r="AK378"/>
  <c r="I378" s="1"/>
  <c r="AK377"/>
  <c r="I377" s="1"/>
  <c r="H377"/>
  <c r="E377"/>
  <c r="AK376"/>
  <c r="H376"/>
  <c r="E376"/>
  <c r="I376" s="1"/>
  <c r="AK375"/>
  <c r="I375" s="1"/>
  <c r="H375"/>
  <c r="E375"/>
  <c r="AK374"/>
  <c r="H374"/>
  <c r="E374"/>
  <c r="I374" s="1"/>
  <c r="AK373"/>
  <c r="I373" s="1"/>
  <c r="H373"/>
  <c r="E373"/>
  <c r="AK372"/>
  <c r="I372" s="1"/>
  <c r="AK371"/>
  <c r="I371" s="1"/>
  <c r="H371"/>
  <c r="E371"/>
  <c r="AK370"/>
  <c r="H370"/>
  <c r="E370"/>
  <c r="I370" s="1"/>
  <c r="AK369"/>
  <c r="I369" s="1"/>
  <c r="H369"/>
  <c r="E369"/>
  <c r="AK368"/>
  <c r="H368"/>
  <c r="E368"/>
  <c r="I368" s="1"/>
  <c r="AK367"/>
  <c r="I367" s="1"/>
  <c r="H367"/>
  <c r="E367"/>
  <c r="AK366"/>
  <c r="H366"/>
  <c r="E366"/>
  <c r="I366" s="1"/>
  <c r="AK365"/>
  <c r="I365" s="1"/>
  <c r="E365"/>
  <c r="AK364"/>
  <c r="I364" s="1"/>
  <c r="H364"/>
  <c r="E364"/>
  <c r="AK363"/>
  <c r="H363"/>
  <c r="E363"/>
  <c r="I363" s="1"/>
  <c r="AK362"/>
  <c r="I362" s="1"/>
  <c r="H362"/>
  <c r="E362"/>
  <c r="AK361"/>
  <c r="I361"/>
  <c r="AK360"/>
  <c r="I360" s="1"/>
  <c r="H360"/>
  <c r="E360"/>
  <c r="AK359"/>
  <c r="H359"/>
  <c r="E359"/>
  <c r="I359" s="1"/>
  <c r="AK358"/>
  <c r="I358" s="1"/>
  <c r="H358"/>
  <c r="E358"/>
  <c r="AK357"/>
  <c r="H357"/>
  <c r="E357"/>
  <c r="I357" s="1"/>
  <c r="AK356"/>
  <c r="I356" s="1"/>
  <c r="H356"/>
  <c r="E356"/>
  <c r="AK355"/>
  <c r="I355" s="1"/>
  <c r="AK354"/>
  <c r="I354" s="1"/>
  <c r="H354"/>
  <c r="E354"/>
  <c r="AK353"/>
  <c r="H353"/>
  <c r="E353"/>
  <c r="I353" s="1"/>
  <c r="AK352"/>
  <c r="I352" s="1"/>
  <c r="H352"/>
  <c r="E352"/>
  <c r="AK351"/>
  <c r="H351"/>
  <c r="E351"/>
  <c r="I351" s="1"/>
  <c r="AK350"/>
  <c r="I350" s="1"/>
  <c r="H350"/>
  <c r="E350"/>
  <c r="AK349"/>
  <c r="I349" s="1"/>
  <c r="AK348"/>
  <c r="I348" s="1"/>
  <c r="H348"/>
  <c r="E348"/>
  <c r="AK347"/>
  <c r="H347"/>
  <c r="E347"/>
  <c r="I347" s="1"/>
  <c r="AK346"/>
  <c r="I346" s="1"/>
  <c r="H346"/>
  <c r="E346"/>
  <c r="AK345"/>
  <c r="H345"/>
  <c r="E345"/>
  <c r="I345" s="1"/>
  <c r="AK344"/>
  <c r="I344" s="1"/>
  <c r="H344"/>
  <c r="E344"/>
  <c r="AK343"/>
  <c r="I343" s="1"/>
  <c r="AK342"/>
  <c r="I342" s="1"/>
  <c r="H342"/>
  <c r="E342"/>
  <c r="AK341"/>
  <c r="H341"/>
  <c r="E341"/>
  <c r="I341" s="1"/>
  <c r="AK340"/>
  <c r="I340" s="1"/>
  <c r="H340"/>
  <c r="E340"/>
  <c r="AK339"/>
  <c r="H339"/>
  <c r="E339"/>
  <c r="I339" s="1"/>
  <c r="AK338"/>
  <c r="I338" s="1"/>
  <c r="H338"/>
  <c r="E338"/>
  <c r="AK337"/>
  <c r="I337"/>
  <c r="AK336"/>
  <c r="I336" s="1"/>
  <c r="H336"/>
  <c r="E336"/>
  <c r="AK335"/>
  <c r="H335"/>
  <c r="E335"/>
  <c r="I335" s="1"/>
  <c r="AK334"/>
  <c r="I334" s="1"/>
  <c r="H334"/>
  <c r="E334"/>
  <c r="AK333"/>
  <c r="H333"/>
  <c r="E333"/>
  <c r="I333" s="1"/>
  <c r="AK332"/>
  <c r="I332" s="1"/>
  <c r="H332"/>
  <c r="E332"/>
  <c r="AK331"/>
  <c r="I331" s="1"/>
  <c r="AK330"/>
  <c r="I330" s="1"/>
  <c r="H330"/>
  <c r="E330"/>
  <c r="AK329"/>
  <c r="H329"/>
  <c r="E329"/>
  <c r="I329" s="1"/>
  <c r="AK328"/>
  <c r="I328" s="1"/>
  <c r="H328"/>
  <c r="E328"/>
  <c r="AK327"/>
  <c r="H327"/>
  <c r="E327"/>
  <c r="I327" s="1"/>
  <c r="AK326"/>
  <c r="I326" s="1"/>
  <c r="H326"/>
  <c r="E326"/>
  <c r="AK325"/>
  <c r="H325"/>
  <c r="E325"/>
  <c r="I325" s="1"/>
  <c r="AK324"/>
  <c r="I324" s="1"/>
  <c r="AK323"/>
  <c r="H323"/>
  <c r="E323"/>
  <c r="I323" s="1"/>
  <c r="AK322"/>
  <c r="I322" s="1"/>
  <c r="H322"/>
  <c r="E322"/>
  <c r="AK321"/>
  <c r="H321"/>
  <c r="E321"/>
  <c r="I321" s="1"/>
  <c r="AK320"/>
  <c r="I320" s="1"/>
  <c r="H320"/>
  <c r="E320"/>
  <c r="AK319"/>
  <c r="H319"/>
  <c r="E319"/>
  <c r="I319" s="1"/>
  <c r="AK318"/>
  <c r="I318" s="1"/>
  <c r="AK317"/>
  <c r="H317"/>
  <c r="E317"/>
  <c r="I317" s="1"/>
  <c r="AK316"/>
  <c r="I316" s="1"/>
  <c r="H316"/>
  <c r="E316"/>
  <c r="AK315"/>
  <c r="H315"/>
  <c r="E315"/>
  <c r="I315" s="1"/>
  <c r="AK314"/>
  <c r="I314" s="1"/>
  <c r="H314"/>
  <c r="E314"/>
  <c r="AK313"/>
  <c r="H313"/>
  <c r="E313"/>
  <c r="I313" s="1"/>
  <c r="AK312"/>
  <c r="I312" s="1"/>
  <c r="H312"/>
  <c r="E312"/>
  <c r="AK311"/>
  <c r="H311"/>
  <c r="E311"/>
  <c r="I311" s="1"/>
  <c r="AK310"/>
  <c r="I310" s="1"/>
  <c r="AK309"/>
  <c r="H309"/>
  <c r="E309"/>
  <c r="I309" s="1"/>
  <c r="AK308"/>
  <c r="I308" s="1"/>
  <c r="H308"/>
  <c r="E308"/>
  <c r="AK307"/>
  <c r="H307"/>
  <c r="E307"/>
  <c r="I307" s="1"/>
  <c r="AK306"/>
  <c r="I306" s="1"/>
  <c r="H306"/>
  <c r="E306"/>
  <c r="AK305"/>
  <c r="I305" s="1"/>
  <c r="AK304"/>
  <c r="I304" s="1"/>
  <c r="H304"/>
  <c r="E304"/>
  <c r="AK303"/>
  <c r="H303"/>
  <c r="E303"/>
  <c r="I303" s="1"/>
  <c r="AK302"/>
  <c r="I302" s="1"/>
  <c r="H302"/>
  <c r="E302"/>
  <c r="AK301"/>
  <c r="H301"/>
  <c r="E301"/>
  <c r="I301" s="1"/>
  <c r="AK300"/>
  <c r="I300" s="1"/>
  <c r="AK299"/>
  <c r="H299"/>
  <c r="E299"/>
  <c r="I299" s="1"/>
  <c r="AK298"/>
  <c r="I298" s="1"/>
  <c r="H298"/>
  <c r="E298"/>
  <c r="AK297"/>
  <c r="I297" s="1"/>
  <c r="AK296"/>
  <c r="I296" s="1"/>
  <c r="H296"/>
  <c r="E296"/>
  <c r="AK295"/>
  <c r="H295"/>
  <c r="E295"/>
  <c r="I295" s="1"/>
  <c r="AK294"/>
  <c r="I294" s="1"/>
  <c r="AK293"/>
  <c r="H293"/>
  <c r="E293"/>
  <c r="I293" s="1"/>
  <c r="AK292"/>
  <c r="I292" s="1"/>
  <c r="H292"/>
  <c r="E292"/>
  <c r="AK291"/>
  <c r="I291"/>
  <c r="E291"/>
  <c r="AK290"/>
  <c r="H290"/>
  <c r="E290"/>
  <c r="I290" s="1"/>
  <c r="AK289"/>
  <c r="I289" s="1"/>
  <c r="AK288"/>
  <c r="H288"/>
  <c r="E288"/>
  <c r="I288" s="1"/>
  <c r="AK287"/>
  <c r="I287" s="1"/>
  <c r="H287"/>
  <c r="E287"/>
  <c r="AK286"/>
  <c r="H286"/>
  <c r="E286"/>
  <c r="I286" s="1"/>
  <c r="AK285"/>
  <c r="I285" s="1"/>
  <c r="H285"/>
  <c r="E285"/>
  <c r="AK284"/>
  <c r="H284"/>
  <c r="E284"/>
  <c r="I284" s="1"/>
  <c r="AK283"/>
  <c r="I283" s="1"/>
  <c r="AK282"/>
  <c r="H282"/>
  <c r="E282"/>
  <c r="I282" s="1"/>
  <c r="AK281"/>
  <c r="I281" s="1"/>
  <c r="E281"/>
  <c r="AK280"/>
  <c r="I280" s="1"/>
  <c r="E280"/>
  <c r="AK279"/>
  <c r="I279" s="1"/>
  <c r="H279"/>
  <c r="E279"/>
  <c r="AK278"/>
  <c r="H278"/>
  <c r="E278"/>
  <c r="I278" s="1"/>
  <c r="AK277"/>
  <c r="I277" s="1"/>
  <c r="AK276"/>
  <c r="H276"/>
  <c r="E276"/>
  <c r="I276" s="1"/>
  <c r="AK275"/>
  <c r="I275" s="1"/>
  <c r="H275"/>
  <c r="E275"/>
  <c r="AK274"/>
  <c r="H274"/>
  <c r="E274"/>
  <c r="I274" s="1"/>
  <c r="AK273"/>
  <c r="I273" s="1"/>
  <c r="H273"/>
  <c r="E273"/>
  <c r="AK272"/>
  <c r="I272" s="1"/>
  <c r="AK271"/>
  <c r="I271" s="1"/>
  <c r="H271"/>
  <c r="E271"/>
  <c r="AK270"/>
  <c r="H270"/>
  <c r="E270"/>
  <c r="I270" s="1"/>
  <c r="AK269"/>
  <c r="I269" s="1"/>
  <c r="H269"/>
  <c r="E269"/>
  <c r="AK268"/>
  <c r="H268"/>
  <c r="E268"/>
  <c r="I268" s="1"/>
  <c r="AK267"/>
  <c r="I267" s="1"/>
  <c r="H267"/>
  <c r="E267"/>
  <c r="AK266"/>
  <c r="I266" s="1"/>
  <c r="AK265"/>
  <c r="I265" s="1"/>
  <c r="H265"/>
  <c r="E265"/>
  <c r="AK264"/>
  <c r="I264" s="1"/>
  <c r="E264"/>
  <c r="AK263"/>
  <c r="I263"/>
  <c r="E263"/>
  <c r="AK262"/>
  <c r="H262"/>
  <c r="E262"/>
  <c r="I262" s="1"/>
  <c r="AK261"/>
  <c r="I261" s="1"/>
  <c r="H261"/>
  <c r="E261"/>
  <c r="AK260"/>
  <c r="I260" s="1"/>
  <c r="AK259"/>
  <c r="I259" s="1"/>
  <c r="H259"/>
  <c r="E259"/>
  <c r="AK258"/>
  <c r="H258"/>
  <c r="E258"/>
  <c r="I258" s="1"/>
  <c r="AK257"/>
  <c r="I257" s="1"/>
  <c r="H257"/>
  <c r="E257"/>
  <c r="AK256"/>
  <c r="H256"/>
  <c r="E256"/>
  <c r="I256" s="1"/>
  <c r="AK255"/>
  <c r="I255" s="1"/>
  <c r="H255"/>
  <c r="E255"/>
  <c r="AK254"/>
  <c r="I254" s="1"/>
  <c r="AK253"/>
  <c r="I253" s="1"/>
  <c r="H253"/>
  <c r="E253"/>
  <c r="AK252"/>
  <c r="H252"/>
  <c r="E252"/>
  <c r="I252" s="1"/>
  <c r="AK251"/>
  <c r="I251" s="1"/>
  <c r="H251"/>
  <c r="E251"/>
  <c r="AK250"/>
  <c r="H250"/>
  <c r="E250"/>
  <c r="I250" s="1"/>
  <c r="AK249"/>
  <c r="I249" s="1"/>
  <c r="H249"/>
  <c r="E249"/>
  <c r="AK248"/>
  <c r="I248" s="1"/>
  <c r="AK247"/>
  <c r="I247" s="1"/>
  <c r="H247"/>
  <c r="E247"/>
  <c r="AK246"/>
  <c r="H246"/>
  <c r="E246"/>
  <c r="I246" s="1"/>
  <c r="AK245"/>
  <c r="I245" s="1"/>
  <c r="H245"/>
  <c r="E245"/>
  <c r="AK244"/>
  <c r="H244"/>
  <c r="E244"/>
  <c r="I244" s="1"/>
  <c r="AK243"/>
  <c r="I243" s="1"/>
  <c r="H243"/>
  <c r="E243"/>
  <c r="AK242"/>
  <c r="I242"/>
  <c r="AK241"/>
  <c r="I241" s="1"/>
  <c r="H241"/>
  <c r="E241"/>
  <c r="AK240"/>
  <c r="H240"/>
  <c r="E240"/>
  <c r="I240" s="1"/>
  <c r="AK239"/>
  <c r="I239" s="1"/>
  <c r="H239"/>
  <c r="E239"/>
  <c r="AK238"/>
  <c r="H238"/>
  <c r="E238"/>
  <c r="I238" s="1"/>
  <c r="AK237"/>
  <c r="I237" s="1"/>
  <c r="H237"/>
  <c r="E237"/>
  <c r="AK236"/>
  <c r="I236" s="1"/>
  <c r="AK235"/>
  <c r="I235" s="1"/>
  <c r="H235"/>
  <c r="E235"/>
  <c r="AK234"/>
  <c r="H234"/>
  <c r="E234"/>
  <c r="I234" s="1"/>
  <c r="AK233"/>
  <c r="I233" s="1"/>
  <c r="H233"/>
  <c r="E233"/>
  <c r="AK232"/>
  <c r="H232"/>
  <c r="E232"/>
  <c r="I232" s="1"/>
  <c r="AK231"/>
  <c r="I231" s="1"/>
  <c r="H231"/>
  <c r="E231"/>
  <c r="AK230"/>
  <c r="I230" s="1"/>
  <c r="AK229"/>
  <c r="I229" s="1"/>
  <c r="H229"/>
  <c r="E229"/>
  <c r="AK228"/>
  <c r="H228"/>
  <c r="E228"/>
  <c r="I228" s="1"/>
  <c r="AK227"/>
  <c r="I227" s="1"/>
  <c r="H227"/>
  <c r="E227"/>
  <c r="AK226"/>
  <c r="H226"/>
  <c r="E226"/>
  <c r="I226" s="1"/>
  <c r="AK225"/>
  <c r="I225" s="1"/>
  <c r="H225"/>
  <c r="E225"/>
  <c r="AK224"/>
  <c r="I224" s="1"/>
  <c r="AK223"/>
  <c r="I223" s="1"/>
  <c r="H223"/>
  <c r="E223"/>
  <c r="AK222"/>
  <c r="H222"/>
  <c r="E222"/>
  <c r="I222" s="1"/>
  <c r="AK221"/>
  <c r="I221" s="1"/>
  <c r="H221"/>
  <c r="E221"/>
  <c r="AK220"/>
  <c r="H220"/>
  <c r="E220"/>
  <c r="I220" s="1"/>
  <c r="AK219"/>
  <c r="I219" s="1"/>
  <c r="H219"/>
  <c r="E219"/>
  <c r="AK218"/>
  <c r="I218"/>
  <c r="AK217"/>
  <c r="I217" s="1"/>
  <c r="H217"/>
  <c r="E217"/>
  <c r="AK216"/>
  <c r="H216"/>
  <c r="E216"/>
  <c r="I216" s="1"/>
  <c r="AK215"/>
  <c r="I215" s="1"/>
  <c r="H215"/>
  <c r="E215"/>
  <c r="AK214"/>
  <c r="H214"/>
  <c r="E214"/>
  <c r="I214" s="1"/>
  <c r="AK213"/>
  <c r="I213" s="1"/>
  <c r="H213"/>
  <c r="E213"/>
  <c r="AK212"/>
  <c r="I212" s="1"/>
  <c r="AK211"/>
  <c r="I211" s="1"/>
  <c r="H211"/>
  <c r="E211"/>
  <c r="AK210"/>
  <c r="H210"/>
  <c r="E210"/>
  <c r="I210" s="1"/>
  <c r="AK209"/>
  <c r="I209" s="1"/>
  <c r="H209"/>
  <c r="E209"/>
  <c r="AK208"/>
  <c r="H208"/>
  <c r="E208"/>
  <c r="I208" s="1"/>
  <c r="AK207"/>
  <c r="I207" s="1"/>
  <c r="H207"/>
  <c r="E207"/>
  <c r="AK206"/>
  <c r="I206" s="1"/>
  <c r="AK205"/>
  <c r="I205" s="1"/>
  <c r="H205"/>
  <c r="E205"/>
  <c r="AK204"/>
  <c r="H204"/>
  <c r="E204"/>
  <c r="I204" s="1"/>
  <c r="AK203"/>
  <c r="I203" s="1"/>
  <c r="H203"/>
  <c r="E203"/>
  <c r="AK202"/>
  <c r="I202" s="1"/>
  <c r="AK201"/>
  <c r="I201" s="1"/>
  <c r="AK200"/>
  <c r="H200"/>
  <c r="E200"/>
  <c r="I200" s="1"/>
  <c r="AK199"/>
  <c r="I199" s="1"/>
  <c r="H199"/>
  <c r="E199"/>
  <c r="AK198"/>
  <c r="I198"/>
  <c r="E198"/>
  <c r="AK197"/>
  <c r="I197" s="1"/>
  <c r="H197"/>
  <c r="E197"/>
  <c r="AK196"/>
  <c r="I196" s="1"/>
  <c r="H196"/>
  <c r="E196"/>
  <c r="AK195"/>
  <c r="I195" s="1"/>
  <c r="H195"/>
  <c r="E195"/>
  <c r="AK194"/>
  <c r="I194" s="1"/>
  <c r="E194"/>
  <c r="AK193"/>
  <c r="I193" s="1"/>
  <c r="E193"/>
  <c r="AK192"/>
  <c r="I192" s="1"/>
  <c r="H192"/>
  <c r="E192"/>
  <c r="AK191"/>
  <c r="I191" s="1"/>
  <c r="AK190"/>
  <c r="I190" s="1"/>
  <c r="H190"/>
  <c r="E190"/>
  <c r="AK189"/>
  <c r="I189" s="1"/>
  <c r="E189"/>
  <c r="AK188"/>
  <c r="I188" s="1"/>
  <c r="H188"/>
  <c r="E188"/>
  <c r="AK187"/>
  <c r="I187" s="1"/>
  <c r="H187"/>
  <c r="E187"/>
  <c r="AK186"/>
  <c r="I186" s="1"/>
  <c r="H186"/>
  <c r="E186"/>
  <c r="AK185"/>
  <c r="E185"/>
  <c r="AK184"/>
  <c r="I184" s="1"/>
  <c r="E184"/>
  <c r="AK183"/>
  <c r="I183" s="1"/>
  <c r="H183"/>
  <c r="E183"/>
  <c r="AK182"/>
  <c r="I182" s="1"/>
  <c r="AK181"/>
  <c r="I181" s="1"/>
  <c r="E181"/>
  <c r="AK180"/>
  <c r="I180" s="1"/>
  <c r="H180"/>
  <c r="E180"/>
  <c r="AK179"/>
  <c r="H179"/>
  <c r="E179"/>
  <c r="I179" s="1"/>
  <c r="AK178"/>
  <c r="I178" s="1"/>
  <c r="H178"/>
  <c r="E178"/>
  <c r="AK177"/>
  <c r="H177"/>
  <c r="E177"/>
  <c r="I177" s="1"/>
  <c r="AK176"/>
  <c r="I176" s="1"/>
  <c r="H176"/>
  <c r="E176"/>
  <c r="AK175"/>
  <c r="I175"/>
  <c r="E175"/>
  <c r="AK174"/>
  <c r="H174"/>
  <c r="E174"/>
  <c r="I174" s="1"/>
  <c r="AK173"/>
  <c r="I173" s="1"/>
  <c r="E173"/>
  <c r="AK172"/>
  <c r="I172" s="1"/>
  <c r="E172"/>
  <c r="AK171"/>
  <c r="I171" s="1"/>
  <c r="H171"/>
  <c r="E171"/>
  <c r="AK170"/>
  <c r="I170" s="1"/>
  <c r="AK169"/>
  <c r="I169" s="1"/>
  <c r="H169"/>
  <c r="E169"/>
  <c r="AK168"/>
  <c r="H168"/>
  <c r="E168"/>
  <c r="I168" s="1"/>
  <c r="AK167"/>
  <c r="I167" s="1"/>
  <c r="H167"/>
  <c r="E167"/>
  <c r="AK166"/>
  <c r="I166" s="1"/>
  <c r="E166"/>
  <c r="AK165"/>
  <c r="H165"/>
  <c r="E165"/>
  <c r="I165" s="1"/>
  <c r="AK164"/>
  <c r="I164" s="1"/>
  <c r="H164"/>
  <c r="E164"/>
  <c r="AK163"/>
  <c r="I163" s="1"/>
  <c r="E163"/>
  <c r="AK162"/>
  <c r="I162" s="1"/>
  <c r="E162"/>
  <c r="AK161"/>
  <c r="I161" s="1"/>
  <c r="H161"/>
  <c r="E161"/>
  <c r="AK160"/>
  <c r="I160" s="1"/>
  <c r="AK159"/>
  <c r="I159" s="1"/>
  <c r="H159"/>
  <c r="E159"/>
  <c r="AK158"/>
  <c r="I158" s="1"/>
  <c r="H158"/>
  <c r="E158"/>
  <c r="AK157"/>
  <c r="I157" s="1"/>
  <c r="H157"/>
  <c r="E157"/>
  <c r="AK156"/>
  <c r="I156" s="1"/>
  <c r="H156"/>
  <c r="E156"/>
  <c r="AK155"/>
  <c r="I155" s="1"/>
  <c r="H155"/>
  <c r="E155"/>
  <c r="AK154"/>
  <c r="I154" s="1"/>
  <c r="H154"/>
  <c r="E154"/>
  <c r="AK153"/>
  <c r="I153" s="1"/>
  <c r="E153"/>
  <c r="AK152"/>
  <c r="I152" s="1"/>
  <c r="H152"/>
  <c r="E152"/>
  <c r="AK151"/>
  <c r="I151" s="1"/>
  <c r="H151"/>
  <c r="E151"/>
  <c r="AK150"/>
  <c r="I150" s="1"/>
  <c r="H150"/>
  <c r="E150"/>
  <c r="AK149"/>
  <c r="I149" s="1"/>
  <c r="AK148"/>
  <c r="H148"/>
  <c r="E148"/>
  <c r="AK147"/>
  <c r="I147" s="1"/>
  <c r="E147"/>
  <c r="AK146"/>
  <c r="I146" s="1"/>
  <c r="H146"/>
  <c r="E146"/>
  <c r="AK145"/>
  <c r="H145"/>
  <c r="E145"/>
  <c r="I145" s="1"/>
  <c r="AK144"/>
  <c r="I144" s="1"/>
  <c r="H144"/>
  <c r="E144"/>
  <c r="AK143"/>
  <c r="H143"/>
  <c r="E143"/>
  <c r="I143" s="1"/>
  <c r="AK142"/>
  <c r="I142" s="1"/>
  <c r="AK141"/>
  <c r="H141"/>
  <c r="E141"/>
  <c r="I141" s="1"/>
  <c r="AK140"/>
  <c r="I140" s="1"/>
  <c r="H140"/>
  <c r="E140"/>
  <c r="AK139"/>
  <c r="H139"/>
  <c r="E139"/>
  <c r="I139" s="1"/>
  <c r="AK138"/>
  <c r="I138" s="1"/>
  <c r="H138"/>
  <c r="E138"/>
  <c r="AK137"/>
  <c r="I137" s="1"/>
  <c r="E137"/>
  <c r="AK136"/>
  <c r="I136" s="1"/>
  <c r="E136"/>
  <c r="AK135"/>
  <c r="I135"/>
  <c r="E135"/>
  <c r="AK134"/>
  <c r="H134"/>
  <c r="E134"/>
  <c r="I134" s="1"/>
  <c r="AK133"/>
  <c r="I133" s="1"/>
  <c r="AK132"/>
  <c r="H132"/>
  <c r="E132"/>
  <c r="I132" s="1"/>
  <c r="AK131"/>
  <c r="I131" s="1"/>
  <c r="H131"/>
  <c r="E131"/>
  <c r="AK130"/>
  <c r="I130" s="1"/>
  <c r="E130"/>
  <c r="AK129"/>
  <c r="H129"/>
  <c r="E129"/>
  <c r="I129" s="1"/>
  <c r="AK128"/>
  <c r="I128" s="1"/>
  <c r="H128"/>
  <c r="E128"/>
  <c r="AK127"/>
  <c r="H127"/>
  <c r="E127"/>
  <c r="I127" s="1"/>
  <c r="AK126"/>
  <c r="I126" s="1"/>
  <c r="AK125"/>
  <c r="H125"/>
  <c r="E125"/>
  <c r="I125" s="1"/>
  <c r="AK124"/>
  <c r="I124" s="1"/>
  <c r="H124"/>
  <c r="E124"/>
  <c r="AK123"/>
  <c r="H123"/>
  <c r="E123"/>
  <c r="I123" s="1"/>
  <c r="AK122"/>
  <c r="I122" s="1"/>
  <c r="H122"/>
  <c r="E122"/>
  <c r="AK121"/>
  <c r="H121"/>
  <c r="E121"/>
  <c r="I121" s="1"/>
  <c r="AK120"/>
  <c r="I120" s="1"/>
  <c r="E120"/>
  <c r="AK119"/>
  <c r="I119" s="1"/>
  <c r="H119"/>
  <c r="E119"/>
  <c r="AK118"/>
  <c r="I118" s="1"/>
  <c r="AK117"/>
  <c r="I117" s="1"/>
  <c r="H117"/>
  <c r="E117"/>
  <c r="AK116"/>
  <c r="H116"/>
  <c r="E116"/>
  <c r="I116" s="1"/>
  <c r="AK115"/>
  <c r="I115" s="1"/>
  <c r="H115"/>
  <c r="E115"/>
  <c r="AK114"/>
  <c r="H114"/>
  <c r="E114"/>
  <c r="I114" s="1"/>
  <c r="AK113"/>
  <c r="I113" s="1"/>
  <c r="H113"/>
  <c r="E113"/>
  <c r="AK112"/>
  <c r="H112"/>
  <c r="E112"/>
  <c r="I112" s="1"/>
  <c r="AK111"/>
  <c r="I111" s="1"/>
  <c r="H111"/>
  <c r="E111"/>
  <c r="AK110"/>
  <c r="I110" s="1"/>
  <c r="AK109"/>
  <c r="I109" s="1"/>
  <c r="H109"/>
  <c r="E109"/>
  <c r="AK108"/>
  <c r="H108"/>
  <c r="E108"/>
  <c r="I108" s="1"/>
  <c r="AK107"/>
  <c r="I107" s="1"/>
  <c r="H107"/>
  <c r="E107"/>
  <c r="AK106"/>
  <c r="H106"/>
  <c r="E106"/>
  <c r="I106" s="1"/>
  <c r="AK105"/>
  <c r="I105" s="1"/>
  <c r="H105"/>
  <c r="E105"/>
  <c r="AK104"/>
  <c r="H104"/>
  <c r="E104"/>
  <c r="I104" s="1"/>
  <c r="AK103"/>
  <c r="I103" s="1"/>
  <c r="H103"/>
  <c r="E103"/>
  <c r="AK102"/>
  <c r="I102"/>
  <c r="AK101"/>
  <c r="I101" s="1"/>
  <c r="AK100"/>
  <c r="H100"/>
  <c r="E100"/>
  <c r="I100" s="1"/>
  <c r="AK99"/>
  <c r="I99" s="1"/>
  <c r="H99"/>
  <c r="E99"/>
  <c r="AK98"/>
  <c r="H98"/>
  <c r="E98"/>
  <c r="I98" s="1"/>
  <c r="AK97"/>
  <c r="I97" s="1"/>
  <c r="H97"/>
  <c r="E97"/>
  <c r="AK96"/>
  <c r="H96"/>
  <c r="E96"/>
  <c r="I96" s="1"/>
  <c r="AK95"/>
  <c r="I95" s="1"/>
  <c r="H95"/>
  <c r="E95"/>
  <c r="AK94"/>
  <c r="H94"/>
  <c r="E94"/>
  <c r="I94" s="1"/>
  <c r="AK93"/>
  <c r="I93" s="1"/>
  <c r="AK92"/>
  <c r="H92"/>
  <c r="E92"/>
  <c r="I92" s="1"/>
  <c r="AK91"/>
  <c r="I91" s="1"/>
  <c r="H91"/>
  <c r="E91"/>
  <c r="AK90"/>
  <c r="H90"/>
  <c r="E90"/>
  <c r="I90" s="1"/>
  <c r="AK89"/>
  <c r="I89" s="1"/>
  <c r="H89"/>
  <c r="E89"/>
  <c r="AK88"/>
  <c r="H88"/>
  <c r="E88"/>
  <c r="I88" s="1"/>
  <c r="AK87"/>
  <c r="I87" s="1"/>
  <c r="H87"/>
  <c r="E87"/>
  <c r="AK86"/>
  <c r="H86"/>
  <c r="E86"/>
  <c r="I86" s="1"/>
  <c r="AK85"/>
  <c r="I85" s="1"/>
  <c r="AK84"/>
  <c r="I84" s="1"/>
  <c r="AK83"/>
  <c r="I83" s="1"/>
  <c r="AK82"/>
  <c r="H82"/>
  <c r="E82"/>
  <c r="I82" s="1"/>
  <c r="AK81"/>
  <c r="I81" s="1"/>
  <c r="H81"/>
  <c r="E81"/>
  <c r="AK80"/>
  <c r="H80"/>
  <c r="E80"/>
  <c r="I80" s="1"/>
  <c r="AK79"/>
  <c r="I79" s="1"/>
  <c r="H79"/>
  <c r="E79"/>
  <c r="AK78"/>
  <c r="I78" s="1"/>
  <c r="E78"/>
  <c r="AK77"/>
  <c r="I77" s="1"/>
  <c r="E77"/>
  <c r="AK76"/>
  <c r="H76"/>
  <c r="E76"/>
  <c r="I76" s="1"/>
  <c r="AK75"/>
  <c r="I75" s="1"/>
  <c r="H75"/>
  <c r="E75"/>
  <c r="AK74"/>
  <c r="I74"/>
  <c r="E74"/>
  <c r="AK73"/>
  <c r="I73" s="1"/>
  <c r="AK72"/>
  <c r="I72" s="1"/>
  <c r="AK71"/>
  <c r="I71" s="1"/>
  <c r="AK70"/>
  <c r="I70" s="1"/>
  <c r="H70"/>
  <c r="E70"/>
  <c r="AK69"/>
  <c r="H69"/>
  <c r="E69"/>
  <c r="I69" s="1"/>
  <c r="AK68"/>
  <c r="I68" s="1"/>
  <c r="H68"/>
  <c r="E68"/>
  <c r="AK67"/>
  <c r="H67"/>
  <c r="E67"/>
  <c r="I67" s="1"/>
  <c r="AK66"/>
  <c r="I66" s="1"/>
  <c r="H66"/>
  <c r="E66"/>
  <c r="AK65"/>
  <c r="I65" s="1"/>
  <c r="AK64"/>
  <c r="I64" s="1"/>
  <c r="H64"/>
  <c r="E64"/>
  <c r="AK63"/>
  <c r="H63"/>
  <c r="E63"/>
  <c r="I63" s="1"/>
  <c r="AK62"/>
  <c r="I62" s="1"/>
  <c r="H62"/>
  <c r="E62"/>
  <c r="AK61"/>
  <c r="I61"/>
  <c r="H61"/>
  <c r="AK60"/>
  <c r="I60" s="1"/>
  <c r="H60"/>
  <c r="AK59"/>
  <c r="H59"/>
  <c r="E59"/>
  <c r="I59" s="1"/>
  <c r="AK58"/>
  <c r="I58" s="1"/>
  <c r="H58"/>
  <c r="E58"/>
  <c r="AK57"/>
  <c r="I57" s="1"/>
  <c r="AK56"/>
  <c r="I56" s="1"/>
  <c r="H56"/>
  <c r="E56"/>
  <c r="AK55"/>
  <c r="H55"/>
  <c r="E55"/>
  <c r="I55" s="1"/>
  <c r="AK54"/>
  <c r="I54" s="1"/>
  <c r="H54"/>
  <c r="E54"/>
  <c r="AK53"/>
  <c r="H53"/>
  <c r="E53"/>
  <c r="I53" s="1"/>
  <c r="AK52"/>
  <c r="I52" s="1"/>
  <c r="H52"/>
  <c r="E52"/>
  <c r="AK51"/>
  <c r="H51"/>
  <c r="E51"/>
  <c r="I51" s="1"/>
  <c r="AK50"/>
  <c r="I50" s="1"/>
  <c r="AK49"/>
  <c r="H49"/>
  <c r="E49"/>
  <c r="I49" s="1"/>
  <c r="AK48"/>
  <c r="I48" s="1"/>
  <c r="H48"/>
  <c r="E48"/>
  <c r="AK47"/>
  <c r="H47"/>
  <c r="E47"/>
  <c r="I47" s="1"/>
  <c r="AK46"/>
  <c r="I46" s="1"/>
  <c r="H46"/>
  <c r="E46"/>
  <c r="AK45"/>
  <c r="H45"/>
  <c r="E45"/>
  <c r="I45" s="1"/>
  <c r="AK44"/>
  <c r="I44" s="1"/>
  <c r="H44"/>
  <c r="E44"/>
  <c r="AK43"/>
  <c r="H43"/>
  <c r="E43"/>
  <c r="I43" s="1"/>
  <c r="AK42"/>
  <c r="I42" s="1"/>
  <c r="AK41"/>
  <c r="H41"/>
  <c r="E41"/>
  <c r="I41" s="1"/>
  <c r="AK40"/>
  <c r="I40" s="1"/>
  <c r="H40"/>
  <c r="E40"/>
  <c r="AK39"/>
  <c r="H39"/>
  <c r="E39"/>
  <c r="I39" s="1"/>
  <c r="AK38"/>
  <c r="I38" s="1"/>
  <c r="H38"/>
  <c r="E38"/>
  <c r="AK37"/>
  <c r="H37"/>
  <c r="E37"/>
  <c r="I37" s="1"/>
  <c r="AK36"/>
  <c r="I36" s="1"/>
  <c r="H36"/>
  <c r="E36"/>
  <c r="AK35"/>
  <c r="H35"/>
  <c r="E35"/>
  <c r="I35" s="1"/>
  <c r="AK34"/>
  <c r="I34" s="1"/>
  <c r="AK33"/>
  <c r="H33"/>
  <c r="E33"/>
  <c r="I33" s="1"/>
  <c r="AK32"/>
  <c r="I32" s="1"/>
  <c r="H32"/>
  <c r="E32"/>
  <c r="AK31"/>
  <c r="H31"/>
  <c r="E31"/>
  <c r="I31" s="1"/>
  <c r="AK30"/>
  <c r="I30" s="1"/>
  <c r="H30"/>
  <c r="E30"/>
  <c r="AK29"/>
  <c r="H29"/>
  <c r="E29"/>
  <c r="I29" s="1"/>
  <c r="AK28"/>
  <c r="I28" s="1"/>
  <c r="H28"/>
  <c r="E28"/>
  <c r="AK27"/>
  <c r="H27"/>
  <c r="E27"/>
  <c r="I27" s="1"/>
  <c r="AK26"/>
  <c r="I26" s="1"/>
  <c r="AK25"/>
  <c r="H25"/>
  <c r="E25"/>
  <c r="I25" s="1"/>
  <c r="AK24"/>
  <c r="I24" s="1"/>
  <c r="H24"/>
  <c r="E24"/>
  <c r="AK23"/>
  <c r="I23" s="1"/>
  <c r="H23"/>
  <c r="E23"/>
  <c r="AK22"/>
  <c r="I22" s="1"/>
  <c r="H22"/>
  <c r="E22"/>
  <c r="AK21"/>
  <c r="H21"/>
  <c r="E21"/>
  <c r="I21" s="1"/>
  <c r="AK20"/>
  <c r="I20" s="1"/>
  <c r="H20"/>
  <c r="E20"/>
  <c r="AK19"/>
  <c r="I19"/>
  <c r="AK18"/>
  <c r="I18" s="1"/>
  <c r="H18"/>
  <c r="E18"/>
  <c r="AK17"/>
  <c r="H17"/>
  <c r="E17"/>
  <c r="AK16"/>
  <c r="I16" s="1"/>
  <c r="H16"/>
  <c r="E16"/>
  <c r="AK15"/>
  <c r="H15"/>
  <c r="E15"/>
  <c r="AK14"/>
  <c r="I14" s="1"/>
  <c r="H14"/>
  <c r="E14"/>
  <c r="AK13"/>
  <c r="H13"/>
  <c r="E13"/>
  <c r="AK12"/>
  <c r="I12" s="1"/>
  <c r="AK11"/>
  <c r="I11" s="1"/>
  <c r="AK10"/>
  <c r="I10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AK9"/>
  <c r="I9"/>
  <c r="B9"/>
  <c r="B11" i="184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D6"/>
  <c r="D5"/>
  <c r="D6" i="183"/>
  <c r="D5"/>
  <c r="D6" i="182"/>
  <c r="D5"/>
  <c r="I17" i="185" l="1"/>
  <c r="I185"/>
  <c r="I13"/>
  <c r="I15"/>
  <c r="I148"/>
  <c r="I409" l="1"/>
  <c r="AK59" i="184"/>
  <c r="AK58"/>
  <c r="I58" s="1"/>
  <c r="AK57"/>
  <c r="I57"/>
  <c r="AK56"/>
  <c r="I56" s="1"/>
  <c r="AK55"/>
  <c r="I55"/>
  <c r="AK54"/>
  <c r="I54" s="1"/>
  <c r="AK53"/>
  <c r="I53"/>
  <c r="AK52"/>
  <c r="I52" s="1"/>
  <c r="AK51"/>
  <c r="I51"/>
  <c r="AK50"/>
  <c r="I50" s="1"/>
  <c r="AK49"/>
  <c r="I49"/>
  <c r="AK48"/>
  <c r="I48" s="1"/>
  <c r="AK47"/>
  <c r="I47"/>
  <c r="AK46"/>
  <c r="I46" s="1"/>
  <c r="AK45"/>
  <c r="I45"/>
  <c r="AK44"/>
  <c r="I44" s="1"/>
  <c r="AK43"/>
  <c r="I43"/>
  <c r="AK42"/>
  <c r="I42" s="1"/>
  <c r="AK41"/>
  <c r="I41"/>
  <c r="AK40"/>
  <c r="I40" s="1"/>
  <c r="AK39"/>
  <c r="I39"/>
  <c r="AK38"/>
  <c r="I38" s="1"/>
  <c r="AK37"/>
  <c r="I37"/>
  <c r="H37"/>
  <c r="AK36"/>
  <c r="I36"/>
  <c r="AK35"/>
  <c r="I35" s="1"/>
  <c r="AK34"/>
  <c r="I34"/>
  <c r="AK33"/>
  <c r="I33" s="1"/>
  <c r="H33"/>
  <c r="E33"/>
  <c r="AK32"/>
  <c r="I32"/>
  <c r="H32"/>
  <c r="AK31"/>
  <c r="I31"/>
  <c r="H31"/>
  <c r="AK30"/>
  <c r="I30"/>
  <c r="AK29"/>
  <c r="I29" s="1"/>
  <c r="H29"/>
  <c r="E29"/>
  <c r="AK28"/>
  <c r="I28"/>
  <c r="H28"/>
  <c r="AK27"/>
  <c r="I27"/>
  <c r="H27"/>
  <c r="AK26"/>
  <c r="I26"/>
  <c r="AK25"/>
  <c r="I25" s="1"/>
  <c r="H25"/>
  <c r="E25"/>
  <c r="AK24"/>
  <c r="I24"/>
  <c r="H24"/>
  <c r="AK23"/>
  <c r="I23"/>
  <c r="AK22"/>
  <c r="I22" s="1"/>
  <c r="H22"/>
  <c r="AK21"/>
  <c r="I21" s="1"/>
  <c r="AK20"/>
  <c r="I20"/>
  <c r="AK19"/>
  <c r="I19" s="1"/>
  <c r="H19"/>
  <c r="E19"/>
  <c r="AK18"/>
  <c r="I18"/>
  <c r="H18"/>
  <c r="AK17"/>
  <c r="I17"/>
  <c r="H17"/>
  <c r="AK16"/>
  <c r="I16"/>
  <c r="AK15"/>
  <c r="I15" s="1"/>
  <c r="H15"/>
  <c r="E15"/>
  <c r="AK14"/>
  <c r="I14"/>
  <c r="H14"/>
  <c r="AK13"/>
  <c r="I13"/>
  <c r="H13"/>
  <c r="AK12"/>
  <c r="I12"/>
  <c r="AK11"/>
  <c r="I11" s="1"/>
  <c r="AK10"/>
  <c r="I10" s="1"/>
  <c r="AK9"/>
  <c r="I9" s="1"/>
  <c r="B9"/>
  <c r="B10" s="1"/>
  <c r="AK59" i="183"/>
  <c r="AK58"/>
  <c r="I58" s="1"/>
  <c r="AK57"/>
  <c r="I57"/>
  <c r="AK56"/>
  <c r="I56" s="1"/>
  <c r="AK55"/>
  <c r="I55"/>
  <c r="AK54"/>
  <c r="I54" s="1"/>
  <c r="AK53"/>
  <c r="I53"/>
  <c r="AK52"/>
  <c r="I52" s="1"/>
  <c r="AK51"/>
  <c r="I51"/>
  <c r="AK50"/>
  <c r="I50" s="1"/>
  <c r="AK49"/>
  <c r="I49"/>
  <c r="AK48"/>
  <c r="I48" s="1"/>
  <c r="AK47"/>
  <c r="I47"/>
  <c r="AK46"/>
  <c r="I46" s="1"/>
  <c r="AK45"/>
  <c r="I45"/>
  <c r="AK44"/>
  <c r="I44" s="1"/>
  <c r="AK43"/>
  <c r="I43"/>
  <c r="AK42"/>
  <c r="I42" s="1"/>
  <c r="AK41"/>
  <c r="I41"/>
  <c r="AK40"/>
  <c r="I40" s="1"/>
  <c r="AK39"/>
  <c r="I39"/>
  <c r="AK38"/>
  <c r="I38" s="1"/>
  <c r="AK37"/>
  <c r="I37"/>
  <c r="AK36"/>
  <c r="I36" s="1"/>
  <c r="AK35"/>
  <c r="I35"/>
  <c r="AK34"/>
  <c r="I34" s="1"/>
  <c r="AK33"/>
  <c r="I33"/>
  <c r="AK32"/>
  <c r="I32" s="1"/>
  <c r="AK31"/>
  <c r="I31"/>
  <c r="AK30"/>
  <c r="I30" s="1"/>
  <c r="AK29"/>
  <c r="I29"/>
  <c r="AK28"/>
  <c r="I28" s="1"/>
  <c r="AK27"/>
  <c r="I27"/>
  <c r="AK26"/>
  <c r="I26" s="1"/>
  <c r="AK25"/>
  <c r="I25"/>
  <c r="AK24"/>
  <c r="I24" s="1"/>
  <c r="AK23"/>
  <c r="I23"/>
  <c r="AK22"/>
  <c r="I22" s="1"/>
  <c r="AK21"/>
  <c r="I21"/>
  <c r="AK20"/>
  <c r="I20" s="1"/>
  <c r="AK19"/>
  <c r="H19"/>
  <c r="E19"/>
  <c r="I19" s="1"/>
  <c r="AK18"/>
  <c r="I18" s="1"/>
  <c r="H18"/>
  <c r="AK17"/>
  <c r="I17" s="1"/>
  <c r="H17"/>
  <c r="AK16"/>
  <c r="I16" s="1"/>
  <c r="AK15"/>
  <c r="H15"/>
  <c r="E15"/>
  <c r="I15" s="1"/>
  <c r="AK14"/>
  <c r="I14" s="1"/>
  <c r="H14"/>
  <c r="AK13"/>
  <c r="I13" s="1"/>
  <c r="H13"/>
  <c r="AK12"/>
  <c r="I12" s="1"/>
  <c r="AK11"/>
  <c r="I11"/>
  <c r="AK10"/>
  <c r="I10" s="1"/>
  <c r="I59" s="1"/>
  <c r="A17" i="188" s="1"/>
  <c r="B10" i="183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AK9"/>
  <c r="I9"/>
  <c r="B9"/>
  <c r="AK59" i="182"/>
  <c r="AK58"/>
  <c r="I58" s="1"/>
  <c r="AK57"/>
  <c r="I57"/>
  <c r="AK56"/>
  <c r="I56" s="1"/>
  <c r="AK55"/>
  <c r="I55"/>
  <c r="AK54"/>
  <c r="I54" s="1"/>
  <c r="AK53"/>
  <c r="I53"/>
  <c r="AK52"/>
  <c r="I52" s="1"/>
  <c r="AK51"/>
  <c r="I51"/>
  <c r="AK50"/>
  <c r="I50" s="1"/>
  <c r="AK49"/>
  <c r="I49"/>
  <c r="AK48"/>
  <c r="I48" s="1"/>
  <c r="AK47"/>
  <c r="I47"/>
  <c r="AK46"/>
  <c r="I46" s="1"/>
  <c r="AK45"/>
  <c r="AK44"/>
  <c r="AK43"/>
  <c r="AK42"/>
  <c r="AK41"/>
  <c r="AK40"/>
  <c r="AK39"/>
  <c r="H39"/>
  <c r="E39"/>
  <c r="AK38"/>
  <c r="AK37"/>
  <c r="H37"/>
  <c r="E37"/>
  <c r="AK36"/>
  <c r="H36"/>
  <c r="AK35"/>
  <c r="H35"/>
  <c r="AK34"/>
  <c r="AK33"/>
  <c r="H33"/>
  <c r="E33"/>
  <c r="AK32"/>
  <c r="H32"/>
  <c r="AK31"/>
  <c r="H31"/>
  <c r="AK30"/>
  <c r="AK29"/>
  <c r="H29"/>
  <c r="E29"/>
  <c r="AK28"/>
  <c r="H28"/>
  <c r="AK27"/>
  <c r="H27"/>
  <c r="AK26"/>
  <c r="H26"/>
  <c r="AK25"/>
  <c r="H25"/>
  <c r="AK24"/>
  <c r="AK23"/>
  <c r="H23"/>
  <c r="E23"/>
  <c r="I59" s="1"/>
  <c r="K8" s="1"/>
  <c r="AK22"/>
  <c r="H22"/>
  <c r="AK21"/>
  <c r="H21"/>
  <c r="AK20"/>
  <c r="AK19"/>
  <c r="H19"/>
  <c r="E19"/>
  <c r="AK18"/>
  <c r="H18"/>
  <c r="AK17"/>
  <c r="H17"/>
  <c r="AK16"/>
  <c r="AK15"/>
  <c r="H15"/>
  <c r="E15"/>
  <c r="AK14"/>
  <c r="H14"/>
  <c r="AK13"/>
  <c r="H13"/>
  <c r="AK12"/>
  <c r="I12" s="1"/>
  <c r="AK11"/>
  <c r="I11"/>
  <c r="AK10"/>
  <c r="I10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AK9"/>
  <c r="I9"/>
  <c r="B9"/>
  <c r="I59" i="184" l="1"/>
  <c r="A19" i="188" s="1"/>
  <c r="K8" i="184"/>
  <c r="I413" i="185"/>
  <c r="K8" s="1"/>
  <c r="K8" i="183"/>
  <c r="A22" i="188" l="1"/>
  <c r="D23"/>
  <c r="D6" i="181"/>
  <c r="D5"/>
  <c r="AK359"/>
  <c r="AK358"/>
  <c r="I358" s="1"/>
  <c r="AK357"/>
  <c r="I357"/>
  <c r="AK356"/>
  <c r="I356" s="1"/>
  <c r="AK355"/>
  <c r="I355"/>
  <c r="AK354"/>
  <c r="I354" s="1"/>
  <c r="AK353"/>
  <c r="I353"/>
  <c r="AK352"/>
  <c r="I352" s="1"/>
  <c r="AK351"/>
  <c r="H351"/>
  <c r="I351"/>
  <c r="AK350"/>
  <c r="I350" s="1"/>
  <c r="H350"/>
  <c r="E350"/>
  <c r="AK349"/>
  <c r="I349"/>
  <c r="AK348"/>
  <c r="I348" s="1"/>
  <c r="H348"/>
  <c r="E348"/>
  <c r="AK347"/>
  <c r="I347"/>
  <c r="AK346"/>
  <c r="I346" s="1"/>
  <c r="AK345"/>
  <c r="H345"/>
  <c r="E345"/>
  <c r="I345" s="1"/>
  <c r="AK344"/>
  <c r="I344" s="1"/>
  <c r="AK343"/>
  <c r="I343"/>
  <c r="H343"/>
  <c r="AK342"/>
  <c r="I342"/>
  <c r="AK341"/>
  <c r="I341" s="1"/>
  <c r="AK340"/>
  <c r="H340"/>
  <c r="E340"/>
  <c r="I340" s="1"/>
  <c r="AK339"/>
  <c r="I339" s="1"/>
  <c r="H339"/>
  <c r="E339"/>
  <c r="AK338"/>
  <c r="I338"/>
  <c r="AK337"/>
  <c r="I337" s="1"/>
  <c r="H337"/>
  <c r="E337"/>
  <c r="AK336"/>
  <c r="H336"/>
  <c r="E336"/>
  <c r="I336" s="1"/>
  <c r="AK335"/>
  <c r="I335" s="1"/>
  <c r="H335"/>
  <c r="E335"/>
  <c r="AK334"/>
  <c r="I334"/>
  <c r="AK333"/>
  <c r="I333" s="1"/>
  <c r="H333"/>
  <c r="E333"/>
  <c r="AK332"/>
  <c r="H332"/>
  <c r="E332"/>
  <c r="I332" s="1"/>
  <c r="AK331"/>
  <c r="I331" s="1"/>
  <c r="H331"/>
  <c r="E331"/>
  <c r="AK330"/>
  <c r="H330"/>
  <c r="E330"/>
  <c r="I330" s="1"/>
  <c r="AK329"/>
  <c r="I329" s="1"/>
  <c r="AK328"/>
  <c r="H328"/>
  <c r="E328"/>
  <c r="I328" s="1"/>
  <c r="AK327"/>
  <c r="I327" s="1"/>
  <c r="H327"/>
  <c r="E327"/>
  <c r="AK326"/>
  <c r="H326"/>
  <c r="E326"/>
  <c r="I326" s="1"/>
  <c r="AK325"/>
  <c r="I325" s="1"/>
  <c r="AK324"/>
  <c r="H324"/>
  <c r="E324"/>
  <c r="I324" s="1"/>
  <c r="AK323"/>
  <c r="I323" s="1"/>
  <c r="H323"/>
  <c r="E323"/>
  <c r="AK322"/>
  <c r="I322"/>
  <c r="E322"/>
  <c r="AK321"/>
  <c r="H321"/>
  <c r="E321"/>
  <c r="I321" s="1"/>
  <c r="AK320"/>
  <c r="I320" s="1"/>
  <c r="H320"/>
  <c r="E320"/>
  <c r="AK319"/>
  <c r="H319"/>
  <c r="E319"/>
  <c r="I319" s="1"/>
  <c r="AK318"/>
  <c r="I318" s="1"/>
  <c r="AK317"/>
  <c r="H317"/>
  <c r="E317"/>
  <c r="I317" s="1"/>
  <c r="AK316"/>
  <c r="I316" s="1"/>
  <c r="H316"/>
  <c r="E316"/>
  <c r="AK315"/>
  <c r="H315"/>
  <c r="E315"/>
  <c r="I315" s="1"/>
  <c r="AK314"/>
  <c r="I314" s="1"/>
  <c r="H314"/>
  <c r="E314"/>
  <c r="AK313"/>
  <c r="H313"/>
  <c r="E313"/>
  <c r="I313" s="1"/>
  <c r="AK312"/>
  <c r="I312" s="1"/>
  <c r="H312"/>
  <c r="E312"/>
  <c r="AK311"/>
  <c r="I311"/>
  <c r="AK310"/>
  <c r="I310" s="1"/>
  <c r="H310"/>
  <c r="E310"/>
  <c r="AK309"/>
  <c r="H309"/>
  <c r="E309"/>
  <c r="I309" s="1"/>
  <c r="AK308"/>
  <c r="I308" s="1"/>
  <c r="H308"/>
  <c r="E308"/>
  <c r="AK307"/>
  <c r="H307"/>
  <c r="E307"/>
  <c r="I307" s="1"/>
  <c r="AK306"/>
  <c r="I306" s="1"/>
  <c r="H306"/>
  <c r="E306"/>
  <c r="AK305"/>
  <c r="H305"/>
  <c r="E305"/>
  <c r="I305" s="1"/>
  <c r="AK304"/>
  <c r="I304" s="1"/>
  <c r="H304"/>
  <c r="E304"/>
  <c r="AK303"/>
  <c r="H303"/>
  <c r="E303"/>
  <c r="I303" s="1"/>
  <c r="AK302"/>
  <c r="I302" s="1"/>
  <c r="H302"/>
  <c r="E302"/>
  <c r="AK301"/>
  <c r="H301"/>
  <c r="E301"/>
  <c r="I301" s="1"/>
  <c r="AK300"/>
  <c r="I300" s="1"/>
  <c r="AK299"/>
  <c r="H299"/>
  <c r="E299"/>
  <c r="I299" s="1"/>
  <c r="AK298"/>
  <c r="I298" s="1"/>
  <c r="H298"/>
  <c r="E298"/>
  <c r="AK297"/>
  <c r="H297"/>
  <c r="E297"/>
  <c r="I297" s="1"/>
  <c r="AK296"/>
  <c r="I296" s="1"/>
  <c r="H296"/>
  <c r="E296"/>
  <c r="AK295"/>
  <c r="H295"/>
  <c r="E295"/>
  <c r="I295" s="1"/>
  <c r="AK294"/>
  <c r="I294" s="1"/>
  <c r="H294"/>
  <c r="E294"/>
  <c r="AK293"/>
  <c r="H293"/>
  <c r="E293"/>
  <c r="I293" s="1"/>
  <c r="AK292"/>
  <c r="I292" s="1"/>
  <c r="H292"/>
  <c r="E292"/>
  <c r="AK291"/>
  <c r="H291"/>
  <c r="E291"/>
  <c r="I291" s="1"/>
  <c r="AK290"/>
  <c r="I290" s="1"/>
  <c r="AK289"/>
  <c r="H289"/>
  <c r="E289"/>
  <c r="I289" s="1"/>
  <c r="AK288"/>
  <c r="I288" s="1"/>
  <c r="H288"/>
  <c r="E288"/>
  <c r="AK287"/>
  <c r="H287"/>
  <c r="E287"/>
  <c r="I287" s="1"/>
  <c r="AK286"/>
  <c r="I286" s="1"/>
  <c r="H286"/>
  <c r="E286"/>
  <c r="AK285"/>
  <c r="H285"/>
  <c r="E285"/>
  <c r="I285" s="1"/>
  <c r="AK284"/>
  <c r="I284" s="1"/>
  <c r="H284"/>
  <c r="E284"/>
  <c r="AK283"/>
  <c r="H283"/>
  <c r="E283"/>
  <c r="I283" s="1"/>
  <c r="AK282"/>
  <c r="I282" s="1"/>
  <c r="AK281"/>
  <c r="H281"/>
  <c r="E281"/>
  <c r="I281" s="1"/>
  <c r="AK280"/>
  <c r="I280" s="1"/>
  <c r="H280"/>
  <c r="E280"/>
  <c r="AK279"/>
  <c r="H279"/>
  <c r="E279"/>
  <c r="I279" s="1"/>
  <c r="AK278"/>
  <c r="I278" s="1"/>
  <c r="H278"/>
  <c r="E278"/>
  <c r="AK277"/>
  <c r="H277"/>
  <c r="E277"/>
  <c r="I277" s="1"/>
  <c r="AK276"/>
  <c r="I276" s="1"/>
  <c r="H276"/>
  <c r="E276"/>
  <c r="AK275"/>
  <c r="H275"/>
  <c r="E275"/>
  <c r="I275" s="1"/>
  <c r="AK274"/>
  <c r="I274" s="1"/>
  <c r="H274"/>
  <c r="E274"/>
  <c r="AK273"/>
  <c r="H273"/>
  <c r="E273"/>
  <c r="I273" s="1"/>
  <c r="AK272"/>
  <c r="I272" s="1"/>
  <c r="H272"/>
  <c r="E272"/>
  <c r="AK271"/>
  <c r="I271"/>
  <c r="AK270"/>
  <c r="I270" s="1"/>
  <c r="H270"/>
  <c r="E270"/>
  <c r="AK269"/>
  <c r="H269"/>
  <c r="E269"/>
  <c r="I269" s="1"/>
  <c r="AK268"/>
  <c r="I268" s="1"/>
  <c r="H268"/>
  <c r="E268"/>
  <c r="AK267"/>
  <c r="H267"/>
  <c r="E267"/>
  <c r="I267" s="1"/>
  <c r="AK266"/>
  <c r="I266" s="1"/>
  <c r="H266"/>
  <c r="E266"/>
  <c r="AK265"/>
  <c r="H265"/>
  <c r="E265"/>
  <c r="I265" s="1"/>
  <c r="AK264"/>
  <c r="I264" s="1"/>
  <c r="AK263"/>
  <c r="H263"/>
  <c r="E263"/>
  <c r="I263" s="1"/>
  <c r="AK262"/>
  <c r="I262" s="1"/>
  <c r="H262"/>
  <c r="E262"/>
  <c r="AK261"/>
  <c r="H261"/>
  <c r="E261"/>
  <c r="I261" s="1"/>
  <c r="AK260"/>
  <c r="I260" s="1"/>
  <c r="H260"/>
  <c r="E260"/>
  <c r="AK259"/>
  <c r="H259"/>
  <c r="E259"/>
  <c r="I259" s="1"/>
  <c r="AK258"/>
  <c r="I258" s="1"/>
  <c r="H258"/>
  <c r="E258"/>
  <c r="AK257"/>
  <c r="H257"/>
  <c r="E257"/>
  <c r="I257" s="1"/>
  <c r="AK256"/>
  <c r="I256" s="1"/>
  <c r="AK255"/>
  <c r="H255"/>
  <c r="E255"/>
  <c r="I255" s="1"/>
  <c r="AK254"/>
  <c r="I254" s="1"/>
  <c r="H254"/>
  <c r="E254"/>
  <c r="AK253"/>
  <c r="I253"/>
  <c r="AK252"/>
  <c r="I252" s="1"/>
  <c r="H252"/>
  <c r="E252"/>
  <c r="AK251"/>
  <c r="H251"/>
  <c r="E251"/>
  <c r="I251" s="1"/>
  <c r="AK250"/>
  <c r="I250" s="1"/>
  <c r="H250"/>
  <c r="E250"/>
  <c r="AK249"/>
  <c r="H249"/>
  <c r="E249"/>
  <c r="I249" s="1"/>
  <c r="AK248"/>
  <c r="I248" s="1"/>
  <c r="AK247"/>
  <c r="I247"/>
  <c r="E247"/>
  <c r="AK246"/>
  <c r="I246"/>
  <c r="AK245"/>
  <c r="I245" s="1"/>
  <c r="E245"/>
  <c r="AK244"/>
  <c r="I244" s="1"/>
  <c r="E244"/>
  <c r="AK243"/>
  <c r="I243" s="1"/>
  <c r="E243"/>
  <c r="AK242"/>
  <c r="I242" s="1"/>
  <c r="E242"/>
  <c r="AK241"/>
  <c r="I241" s="1"/>
  <c r="E241"/>
  <c r="AK240"/>
  <c r="I240" s="1"/>
  <c r="AK239"/>
  <c r="I239"/>
  <c r="E239"/>
  <c r="AK238"/>
  <c r="I238"/>
  <c r="AK237"/>
  <c r="I237" s="1"/>
  <c r="AK236"/>
  <c r="I236"/>
  <c r="E236"/>
  <c r="AK235"/>
  <c r="I235"/>
  <c r="E235"/>
  <c r="AK234"/>
  <c r="I234"/>
  <c r="E234"/>
  <c r="AK233"/>
  <c r="I233"/>
  <c r="AK232"/>
  <c r="I232" s="1"/>
  <c r="H232"/>
  <c r="E232"/>
  <c r="AK231"/>
  <c r="H231"/>
  <c r="E231"/>
  <c r="I231" s="1"/>
  <c r="AK230"/>
  <c r="I230" s="1"/>
  <c r="H230"/>
  <c r="E230"/>
  <c r="AK229"/>
  <c r="H229"/>
  <c r="E229"/>
  <c r="I229" s="1"/>
  <c r="AK228"/>
  <c r="I228" s="1"/>
  <c r="H228"/>
  <c r="E228"/>
  <c r="AK227"/>
  <c r="I227"/>
  <c r="AK226"/>
  <c r="I226" s="1"/>
  <c r="E226"/>
  <c r="AK225"/>
  <c r="I225" s="1"/>
  <c r="E225"/>
  <c r="AK224"/>
  <c r="I224" s="1"/>
  <c r="E224"/>
  <c r="AK223"/>
  <c r="I223" s="1"/>
  <c r="E223"/>
  <c r="AK222"/>
  <c r="I222" s="1"/>
  <c r="H222"/>
  <c r="E222"/>
  <c r="AK221"/>
  <c r="I221"/>
  <c r="AK220"/>
  <c r="I220" s="1"/>
  <c r="H220"/>
  <c r="E220"/>
  <c r="AK219"/>
  <c r="H219"/>
  <c r="E219"/>
  <c r="I219" s="1"/>
  <c r="AK218"/>
  <c r="I218" s="1"/>
  <c r="E218"/>
  <c r="AK217"/>
  <c r="I217" s="1"/>
  <c r="H217"/>
  <c r="E217"/>
  <c r="AK216"/>
  <c r="H216"/>
  <c r="E216"/>
  <c r="I216" s="1"/>
  <c r="AK215"/>
  <c r="I215" s="1"/>
  <c r="H215"/>
  <c r="E215"/>
  <c r="AK214"/>
  <c r="H214"/>
  <c r="E214"/>
  <c r="I214" s="1"/>
  <c r="AK213"/>
  <c r="I213" s="1"/>
  <c r="E213"/>
  <c r="AK212"/>
  <c r="I212" s="1"/>
  <c r="AK211"/>
  <c r="H211"/>
  <c r="E211"/>
  <c r="I211" s="1"/>
  <c r="AK210"/>
  <c r="I210" s="1"/>
  <c r="H210"/>
  <c r="E210"/>
  <c r="AK209"/>
  <c r="H209"/>
  <c r="E209"/>
  <c r="I209" s="1"/>
  <c r="AK208"/>
  <c r="I208" s="1"/>
  <c r="H208"/>
  <c r="E208"/>
  <c r="AK207"/>
  <c r="I207"/>
  <c r="AK206"/>
  <c r="I206" s="1"/>
  <c r="H206"/>
  <c r="E206"/>
  <c r="AK205"/>
  <c r="H205"/>
  <c r="E205"/>
  <c r="I205" s="1"/>
  <c r="AK204"/>
  <c r="I204" s="1"/>
  <c r="H204"/>
  <c r="E204"/>
  <c r="AK203"/>
  <c r="I203"/>
  <c r="AK202"/>
  <c r="I202" s="1"/>
  <c r="H202"/>
  <c r="E202"/>
  <c r="AK201"/>
  <c r="H201"/>
  <c r="E201"/>
  <c r="I201" s="1"/>
  <c r="AK200"/>
  <c r="I200" s="1"/>
  <c r="H200"/>
  <c r="E200"/>
  <c r="AK199"/>
  <c r="H199"/>
  <c r="E199"/>
  <c r="I199" s="1"/>
  <c r="AK198"/>
  <c r="I198" s="1"/>
  <c r="AK197"/>
  <c r="H197"/>
  <c r="E197"/>
  <c r="I197" s="1"/>
  <c r="AK196"/>
  <c r="I196" s="1"/>
  <c r="H196"/>
  <c r="E196"/>
  <c r="AK195"/>
  <c r="I195"/>
  <c r="E195"/>
  <c r="AK194"/>
  <c r="H194"/>
  <c r="E194"/>
  <c r="I194" s="1"/>
  <c r="AK193"/>
  <c r="I193" s="1"/>
  <c r="H193"/>
  <c r="E193"/>
  <c r="AK192"/>
  <c r="H192"/>
  <c r="E192"/>
  <c r="I192" s="1"/>
  <c r="AK191"/>
  <c r="I191" s="1"/>
  <c r="H191"/>
  <c r="E191"/>
  <c r="AK190"/>
  <c r="I190"/>
  <c r="E190"/>
  <c r="AK189"/>
  <c r="I189"/>
  <c r="AK188"/>
  <c r="I188" s="1"/>
  <c r="E188"/>
  <c r="AK187"/>
  <c r="I187" s="1"/>
  <c r="E187"/>
  <c r="AK186"/>
  <c r="I186" s="1"/>
  <c r="E186"/>
  <c r="AK185"/>
  <c r="I185" s="1"/>
  <c r="E185"/>
  <c r="AK184"/>
  <c r="I184" s="1"/>
  <c r="H184"/>
  <c r="E184"/>
  <c r="AK183"/>
  <c r="I183"/>
  <c r="AK182"/>
  <c r="I182" s="1"/>
  <c r="E182"/>
  <c r="AK181"/>
  <c r="I181" s="1"/>
  <c r="E181"/>
  <c r="AK180"/>
  <c r="I180" s="1"/>
  <c r="E180"/>
  <c r="AK179"/>
  <c r="I179" s="1"/>
  <c r="E179"/>
  <c r="AK178"/>
  <c r="I178" s="1"/>
  <c r="E178"/>
  <c r="AK177"/>
  <c r="I177" s="1"/>
  <c r="E177"/>
  <c r="AK176"/>
  <c r="I176" s="1"/>
  <c r="H176"/>
  <c r="E176"/>
  <c r="AK175"/>
  <c r="I175"/>
  <c r="AK174"/>
  <c r="I174" s="1"/>
  <c r="H174"/>
  <c r="E174"/>
  <c r="AK173"/>
  <c r="I173"/>
  <c r="E173"/>
  <c r="AK172"/>
  <c r="H172"/>
  <c r="E172"/>
  <c r="I172" s="1"/>
  <c r="AK171"/>
  <c r="I171" s="1"/>
  <c r="AK170"/>
  <c r="H170"/>
  <c r="E170"/>
  <c r="I170" s="1"/>
  <c r="AK169"/>
  <c r="I169" s="1"/>
  <c r="E169"/>
  <c r="AK168"/>
  <c r="I168" s="1"/>
  <c r="E168"/>
  <c r="AK167"/>
  <c r="I167" s="1"/>
  <c r="E167"/>
  <c r="AK166"/>
  <c r="I166" s="1"/>
  <c r="H166"/>
  <c r="E166"/>
  <c r="AK165"/>
  <c r="I165"/>
  <c r="AK164"/>
  <c r="I164" s="1"/>
  <c r="AK163"/>
  <c r="H163"/>
  <c r="E163"/>
  <c r="I163" s="1"/>
  <c r="AK162"/>
  <c r="I162" s="1"/>
  <c r="E162"/>
  <c r="AK161"/>
  <c r="I161" s="1"/>
  <c r="E161"/>
  <c r="AK160"/>
  <c r="I160" s="1"/>
  <c r="AK159"/>
  <c r="H159"/>
  <c r="E159"/>
  <c r="I159" s="1"/>
  <c r="AK158"/>
  <c r="I158" s="1"/>
  <c r="E158"/>
  <c r="AK157"/>
  <c r="I157" s="1"/>
  <c r="E157"/>
  <c r="AK156"/>
  <c r="I156" s="1"/>
  <c r="AK155"/>
  <c r="I155"/>
  <c r="E155"/>
  <c r="AK154"/>
  <c r="H154"/>
  <c r="E154"/>
  <c r="I154" s="1"/>
  <c r="AK153"/>
  <c r="I153" s="1"/>
  <c r="H153"/>
  <c r="E153"/>
  <c r="AK152"/>
  <c r="I152"/>
  <c r="E152"/>
  <c r="AK151"/>
  <c r="H151"/>
  <c r="E151"/>
  <c r="I151" s="1"/>
  <c r="AK150"/>
  <c r="I150" s="1"/>
  <c r="H150"/>
  <c r="E150"/>
  <c r="AK149"/>
  <c r="I149"/>
  <c r="AK148"/>
  <c r="I148" s="1"/>
  <c r="H148"/>
  <c r="E148"/>
  <c r="AK147"/>
  <c r="I147"/>
  <c r="E147"/>
  <c r="AK146"/>
  <c r="H146"/>
  <c r="E146"/>
  <c r="I146" s="1"/>
  <c r="AK145"/>
  <c r="I145" s="1"/>
  <c r="E145"/>
  <c r="AK144"/>
  <c r="I144" s="1"/>
  <c r="H144"/>
  <c r="E144"/>
  <c r="AK143"/>
  <c r="H143"/>
  <c r="E143"/>
  <c r="I143" s="1"/>
  <c r="AK142"/>
  <c r="I142" s="1"/>
  <c r="H142"/>
  <c r="E142"/>
  <c r="AK141"/>
  <c r="I141"/>
  <c r="E141"/>
  <c r="AK140"/>
  <c r="H140"/>
  <c r="E140"/>
  <c r="I140" s="1"/>
  <c r="AK139"/>
  <c r="I139" s="1"/>
  <c r="H139"/>
  <c r="E139"/>
  <c r="AK138"/>
  <c r="I138"/>
  <c r="AK137"/>
  <c r="I137" s="1"/>
  <c r="H137"/>
  <c r="E137"/>
  <c r="AK136"/>
  <c r="H136"/>
  <c r="E136"/>
  <c r="I136" s="1"/>
  <c r="AK135"/>
  <c r="I135" s="1"/>
  <c r="H135"/>
  <c r="E135"/>
  <c r="AK134"/>
  <c r="H134"/>
  <c r="E134"/>
  <c r="I134" s="1"/>
  <c r="AK133"/>
  <c r="I133" s="1"/>
  <c r="H133"/>
  <c r="E133"/>
  <c r="AK132"/>
  <c r="H132"/>
  <c r="E132"/>
  <c r="I132" s="1"/>
  <c r="AK131"/>
  <c r="I131" s="1"/>
  <c r="AK130"/>
  <c r="H130"/>
  <c r="E130"/>
  <c r="I130" s="1"/>
  <c r="AK129"/>
  <c r="I129" s="1"/>
  <c r="H129"/>
  <c r="E129"/>
  <c r="AK128"/>
  <c r="H128"/>
  <c r="E128"/>
  <c r="I128" s="1"/>
  <c r="AK127"/>
  <c r="I127" s="1"/>
  <c r="H127"/>
  <c r="E127"/>
  <c r="AK126"/>
  <c r="H126"/>
  <c r="E126"/>
  <c r="I126" s="1"/>
  <c r="AK125"/>
  <c r="I125" s="1"/>
  <c r="H125"/>
  <c r="E125"/>
  <c r="AK124"/>
  <c r="H124"/>
  <c r="E124"/>
  <c r="I124" s="1"/>
  <c r="AK123"/>
  <c r="H123"/>
  <c r="E123"/>
  <c r="AK122"/>
  <c r="I122"/>
  <c r="AK121"/>
  <c r="H121"/>
  <c r="E121"/>
  <c r="AK120"/>
  <c r="H120"/>
  <c r="E120"/>
  <c r="I120" s="1"/>
  <c r="AK119"/>
  <c r="H119"/>
  <c r="E119"/>
  <c r="I119" s="1"/>
  <c r="AK118"/>
  <c r="I118" s="1"/>
  <c r="H118"/>
  <c r="E118"/>
  <c r="AK117"/>
  <c r="H117"/>
  <c r="E117"/>
  <c r="I117" s="1"/>
  <c r="AK116"/>
  <c r="I116" s="1"/>
  <c r="H116"/>
  <c r="E116"/>
  <c r="AK115"/>
  <c r="H115"/>
  <c r="E115"/>
  <c r="I115" s="1"/>
  <c r="AK114"/>
  <c r="I114" s="1"/>
  <c r="AK113"/>
  <c r="H113"/>
  <c r="E113"/>
  <c r="I113" s="1"/>
  <c r="AK112"/>
  <c r="I112" s="1"/>
  <c r="H112"/>
  <c r="E112"/>
  <c r="AK111"/>
  <c r="H111"/>
  <c r="E111"/>
  <c r="I111" s="1"/>
  <c r="AK110"/>
  <c r="I110" s="1"/>
  <c r="H110"/>
  <c r="E110"/>
  <c r="AK109"/>
  <c r="H109"/>
  <c r="E109"/>
  <c r="I109" s="1"/>
  <c r="AK108"/>
  <c r="I108" s="1"/>
  <c r="H108"/>
  <c r="E108"/>
  <c r="AK107"/>
  <c r="H107"/>
  <c r="E107"/>
  <c r="I107" s="1"/>
  <c r="AK106"/>
  <c r="I106" s="1"/>
  <c r="AK105"/>
  <c r="I105"/>
  <c r="E105"/>
  <c r="AK104"/>
  <c r="H104"/>
  <c r="E104"/>
  <c r="I104" s="1"/>
  <c r="AK103"/>
  <c r="I103" s="1"/>
  <c r="H103"/>
  <c r="E103"/>
  <c r="AK102"/>
  <c r="H102"/>
  <c r="E102"/>
  <c r="I102" s="1"/>
  <c r="AK101"/>
  <c r="I101" s="1"/>
  <c r="H101"/>
  <c r="E101"/>
  <c r="AK100"/>
  <c r="I100"/>
  <c r="E100"/>
  <c r="AK99"/>
  <c r="H99"/>
  <c r="E99"/>
  <c r="I99" s="1"/>
  <c r="AK98"/>
  <c r="I98" s="1"/>
  <c r="H98"/>
  <c r="E98"/>
  <c r="AK97"/>
  <c r="I97"/>
  <c r="AK96"/>
  <c r="I96" s="1"/>
  <c r="H96"/>
  <c r="E96"/>
  <c r="AK95"/>
  <c r="H95"/>
  <c r="E95"/>
  <c r="I95" s="1"/>
  <c r="AK94"/>
  <c r="I94" s="1"/>
  <c r="H94"/>
  <c r="E94"/>
  <c r="AK93"/>
  <c r="H93"/>
  <c r="E93"/>
  <c r="I93" s="1"/>
  <c r="AK92"/>
  <c r="I92" s="1"/>
  <c r="AK91"/>
  <c r="H91"/>
  <c r="E91"/>
  <c r="I91" s="1"/>
  <c r="AK90"/>
  <c r="I90" s="1"/>
  <c r="H90"/>
  <c r="E90"/>
  <c r="AK89"/>
  <c r="H89"/>
  <c r="E89"/>
  <c r="I89" s="1"/>
  <c r="AK88"/>
  <c r="I88" s="1"/>
  <c r="H88"/>
  <c r="E88"/>
  <c r="AK87"/>
  <c r="H87"/>
  <c r="E87"/>
  <c r="I87" s="1"/>
  <c r="AK86"/>
  <c r="I86" s="1"/>
  <c r="H86"/>
  <c r="E86"/>
  <c r="AK85"/>
  <c r="H85"/>
  <c r="E85"/>
  <c r="I85" s="1"/>
  <c r="AK84"/>
  <c r="I84" s="1"/>
  <c r="AK83"/>
  <c r="H83"/>
  <c r="E83"/>
  <c r="I83" s="1"/>
  <c r="AK82"/>
  <c r="I82" s="1"/>
  <c r="H82"/>
  <c r="E82"/>
  <c r="AK81"/>
  <c r="H81"/>
  <c r="E81"/>
  <c r="I81" s="1"/>
  <c r="AK80"/>
  <c r="I80" s="1"/>
  <c r="H80"/>
  <c r="E80"/>
  <c r="AK79"/>
  <c r="H79"/>
  <c r="E79"/>
  <c r="I79" s="1"/>
  <c r="AK78"/>
  <c r="I78" s="1"/>
  <c r="H78"/>
  <c r="E78"/>
  <c r="AK77"/>
  <c r="H77"/>
  <c r="E77"/>
  <c r="I77" s="1"/>
  <c r="AK76"/>
  <c r="I76" s="1"/>
  <c r="E76"/>
  <c r="AK75"/>
  <c r="I75" s="1"/>
  <c r="AK74"/>
  <c r="H74"/>
  <c r="E74"/>
  <c r="I74" s="1"/>
  <c r="AK73"/>
  <c r="I73" s="1"/>
  <c r="H73"/>
  <c r="E73"/>
  <c r="AK72"/>
  <c r="I72"/>
  <c r="AK71"/>
  <c r="I71" s="1"/>
  <c r="H71"/>
  <c r="E71"/>
  <c r="AK70"/>
  <c r="H70"/>
  <c r="E70"/>
  <c r="I70" s="1"/>
  <c r="AK69"/>
  <c r="I69" s="1"/>
  <c r="AK68"/>
  <c r="H68"/>
  <c r="E68"/>
  <c r="I68" s="1"/>
  <c r="AK67"/>
  <c r="I67" s="1"/>
  <c r="H67"/>
  <c r="E67"/>
  <c r="AK66"/>
  <c r="H66"/>
  <c r="E66"/>
  <c r="I66" s="1"/>
  <c r="AK65"/>
  <c r="I65" s="1"/>
  <c r="H65"/>
  <c r="E65"/>
  <c r="AK64"/>
  <c r="H64"/>
  <c r="E64"/>
  <c r="I64" s="1"/>
  <c r="AK63"/>
  <c r="I63" s="1"/>
  <c r="H63"/>
  <c r="E63"/>
  <c r="AK62"/>
  <c r="H62"/>
  <c r="E62"/>
  <c r="I62" s="1"/>
  <c r="AK61"/>
  <c r="I61" s="1"/>
  <c r="AK60"/>
  <c r="H60"/>
  <c r="E60"/>
  <c r="I60" s="1"/>
  <c r="AK59"/>
  <c r="I59" s="1"/>
  <c r="H59"/>
  <c r="E59"/>
  <c r="AK58"/>
  <c r="H58"/>
  <c r="E58"/>
  <c r="I58" s="1"/>
  <c r="AK57"/>
  <c r="I57" s="1"/>
  <c r="H57"/>
  <c r="E57"/>
  <c r="AK56"/>
  <c r="H56"/>
  <c r="E56"/>
  <c r="I56" s="1"/>
  <c r="AK55"/>
  <c r="I55" s="1"/>
  <c r="AK54"/>
  <c r="H54"/>
  <c r="E54"/>
  <c r="I54" s="1"/>
  <c r="AK53"/>
  <c r="I53" s="1"/>
  <c r="H53"/>
  <c r="E53"/>
  <c r="AK52"/>
  <c r="H52"/>
  <c r="E52"/>
  <c r="I52" s="1"/>
  <c r="AK51"/>
  <c r="I51" s="1"/>
  <c r="H51"/>
  <c r="E51"/>
  <c r="AK50"/>
  <c r="H50"/>
  <c r="E50"/>
  <c r="I50" s="1"/>
  <c r="AK49"/>
  <c r="I49" s="1"/>
  <c r="H49"/>
  <c r="E49"/>
  <c r="AK48"/>
  <c r="H48"/>
  <c r="E48"/>
  <c r="I48" s="1"/>
  <c r="AK47"/>
  <c r="I47" s="1"/>
  <c r="AK46"/>
  <c r="H46"/>
  <c r="E46"/>
  <c r="I46" s="1"/>
  <c r="AK45"/>
  <c r="I45" s="1"/>
  <c r="H45"/>
  <c r="E45"/>
  <c r="AK44"/>
  <c r="H44"/>
  <c r="E44"/>
  <c r="I44" s="1"/>
  <c r="AK43"/>
  <c r="I43" s="1"/>
  <c r="H43"/>
  <c r="E43"/>
  <c r="AK42"/>
  <c r="H42"/>
  <c r="E42"/>
  <c r="I42" s="1"/>
  <c r="AK41"/>
  <c r="I41" s="1"/>
  <c r="H41"/>
  <c r="E41"/>
  <c r="AK40"/>
  <c r="I40"/>
  <c r="AK39"/>
  <c r="I39" s="1"/>
  <c r="H39"/>
  <c r="E39"/>
  <c r="AK38"/>
  <c r="H38"/>
  <c r="E38"/>
  <c r="I38" s="1"/>
  <c r="AK37"/>
  <c r="I37" s="1"/>
  <c r="H37"/>
  <c r="E37"/>
  <c r="AK36"/>
  <c r="H36"/>
  <c r="E36"/>
  <c r="I36" s="1"/>
  <c r="AK35"/>
  <c r="I35" s="1"/>
  <c r="H35"/>
  <c r="E35"/>
  <c r="AK34"/>
  <c r="H34"/>
  <c r="E34"/>
  <c r="I34" s="1"/>
  <c r="AK33"/>
  <c r="I33" s="1"/>
  <c r="AK32"/>
  <c r="H32"/>
  <c r="E32"/>
  <c r="I32" s="1"/>
  <c r="AK31"/>
  <c r="I31" s="1"/>
  <c r="H31"/>
  <c r="E31"/>
  <c r="AK30"/>
  <c r="H30"/>
  <c r="E30"/>
  <c r="I30" s="1"/>
  <c r="AK29"/>
  <c r="I29" s="1"/>
  <c r="H29"/>
  <c r="E29"/>
  <c r="AK28"/>
  <c r="H28"/>
  <c r="E28"/>
  <c r="I28" s="1"/>
  <c r="AK27"/>
  <c r="I27" s="1"/>
  <c r="H27"/>
  <c r="E27"/>
  <c r="AK26"/>
  <c r="I26"/>
  <c r="AK25"/>
  <c r="I25" s="1"/>
  <c r="H25"/>
  <c r="E25"/>
  <c r="AK24"/>
  <c r="H24"/>
  <c r="E24"/>
  <c r="I24" s="1"/>
  <c r="AK23"/>
  <c r="I23" s="1"/>
  <c r="H23"/>
  <c r="E23"/>
  <c r="AK22"/>
  <c r="H22"/>
  <c r="E22"/>
  <c r="I22" s="1"/>
  <c r="AK21"/>
  <c r="I21" s="1"/>
  <c r="H21"/>
  <c r="E21"/>
  <c r="AK20"/>
  <c r="I20"/>
  <c r="AK19"/>
  <c r="I19" s="1"/>
  <c r="H19"/>
  <c r="E19"/>
  <c r="AK18"/>
  <c r="H18"/>
  <c r="E18"/>
  <c r="I18" s="1"/>
  <c r="AK17"/>
  <c r="I17" s="1"/>
  <c r="H17"/>
  <c r="E17"/>
  <c r="AK16"/>
  <c r="H16"/>
  <c r="E16"/>
  <c r="I16" s="1"/>
  <c r="AK15"/>
  <c r="I15" s="1"/>
  <c r="H15"/>
  <c r="E15"/>
  <c r="AK14"/>
  <c r="H14"/>
  <c r="E14"/>
  <c r="I14" s="1"/>
  <c r="AK13"/>
  <c r="I13" s="1"/>
  <c r="H13"/>
  <c r="E13"/>
  <c r="AK12"/>
  <c r="H12"/>
  <c r="E12"/>
  <c r="I12" s="1"/>
  <c r="AK11"/>
  <c r="I11" s="1"/>
  <c r="AK10"/>
  <c r="I10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I121" l="1"/>
  <c r="I359" s="1"/>
  <c r="I123"/>
  <c r="I363" l="1"/>
  <c r="K8" s="1"/>
  <c r="H79" i="174"/>
  <c r="E79"/>
  <c r="H78"/>
  <c r="E78"/>
  <c r="H77"/>
  <c r="E77"/>
  <c r="E76"/>
  <c r="E75"/>
  <c r="E74"/>
  <c r="H73"/>
  <c r="H72"/>
  <c r="H71"/>
  <c r="H70"/>
  <c r="E69"/>
  <c r="E68"/>
  <c r="H67"/>
  <c r="E67"/>
  <c r="H66"/>
  <c r="E66"/>
  <c r="H65"/>
  <c r="E65"/>
  <c r="H64"/>
  <c r="E64"/>
  <c r="H63"/>
  <c r="E63"/>
  <c r="H62"/>
  <c r="E62"/>
  <c r="H61"/>
  <c r="E61"/>
  <c r="H23" i="176"/>
  <c r="H21"/>
  <c r="E21"/>
  <c r="H20"/>
  <c r="E20"/>
  <c r="H310" i="177" l="1"/>
  <c r="E311"/>
  <c r="E312"/>
  <c r="H314"/>
  <c r="E315"/>
  <c r="E316"/>
  <c r="H319"/>
  <c r="E320"/>
  <c r="E321"/>
  <c r="H323"/>
  <c r="E324"/>
  <c r="E325"/>
  <c r="H327"/>
  <c r="E328"/>
  <c r="E329"/>
  <c r="H332"/>
  <c r="E333"/>
  <c r="D334"/>
  <c r="E334"/>
  <c r="H336"/>
  <c r="E337"/>
  <c r="D338"/>
  <c r="E338"/>
  <c r="H340"/>
  <c r="E341"/>
  <c r="D342"/>
  <c r="E342"/>
  <c r="H345"/>
  <c r="E346"/>
  <c r="D347"/>
  <c r="E347"/>
  <c r="H349"/>
  <c r="E350"/>
  <c r="D351"/>
  <c r="E351"/>
  <c r="H353"/>
  <c r="E354"/>
  <c r="D355"/>
  <c r="E355"/>
  <c r="H358"/>
  <c r="E359"/>
  <c r="D360"/>
  <c r="E360"/>
  <c r="H362"/>
  <c r="E363"/>
  <c r="D364"/>
  <c r="E364"/>
  <c r="H366"/>
  <c r="E367"/>
  <c r="D368"/>
  <c r="E368"/>
  <c r="H371"/>
  <c r="E372"/>
  <c r="D373"/>
  <c r="E373"/>
  <c r="H375"/>
  <c r="E376"/>
  <c r="D377"/>
  <c r="E377"/>
  <c r="H379"/>
  <c r="E380"/>
  <c r="D381"/>
  <c r="E381"/>
  <c r="H260"/>
  <c r="E261"/>
  <c r="E262"/>
  <c r="H265"/>
  <c r="E266"/>
  <c r="E267"/>
  <c r="H269"/>
  <c r="E270"/>
  <c r="E271"/>
  <c r="H273"/>
  <c r="E274"/>
  <c r="E275"/>
  <c r="H278"/>
  <c r="E279"/>
  <c r="E280"/>
  <c r="H282"/>
  <c r="E283"/>
  <c r="E284"/>
  <c r="H286"/>
  <c r="E287"/>
  <c r="E288"/>
  <c r="H291"/>
  <c r="E292"/>
  <c r="E293"/>
  <c r="H295"/>
  <c r="E296"/>
  <c r="E297"/>
  <c r="H299"/>
  <c r="E300"/>
  <c r="E301"/>
  <c r="H304"/>
  <c r="E305"/>
  <c r="E306"/>
  <c r="H160"/>
  <c r="E161"/>
  <c r="E162"/>
  <c r="H164"/>
  <c r="E165"/>
  <c r="E166"/>
  <c r="H168"/>
  <c r="E169"/>
  <c r="E170"/>
  <c r="H173"/>
  <c r="E174"/>
  <c r="E175"/>
  <c r="H177"/>
  <c r="E178"/>
  <c r="E179"/>
  <c r="H181"/>
  <c r="E182"/>
  <c r="E183"/>
  <c r="H186"/>
  <c r="E187"/>
  <c r="E188"/>
  <c r="H190"/>
  <c r="E191"/>
  <c r="E192"/>
  <c r="H194"/>
  <c r="E195"/>
  <c r="E196"/>
  <c r="H199"/>
  <c r="E200"/>
  <c r="E201"/>
  <c r="H203"/>
  <c r="E204"/>
  <c r="E205"/>
  <c r="H207"/>
  <c r="E208"/>
  <c r="E209"/>
  <c r="H212"/>
  <c r="E213"/>
  <c r="E214"/>
  <c r="H216"/>
  <c r="E217"/>
  <c r="E218"/>
  <c r="H220"/>
  <c r="E221"/>
  <c r="E222"/>
  <c r="H225"/>
  <c r="E226"/>
  <c r="E227"/>
  <c r="H229"/>
  <c r="E230"/>
  <c r="E231"/>
  <c r="H233"/>
  <c r="E234"/>
  <c r="E235"/>
  <c r="H238"/>
  <c r="E239"/>
  <c r="E240"/>
  <c r="H242"/>
  <c r="E243"/>
  <c r="E244"/>
  <c r="H246"/>
  <c r="E247"/>
  <c r="E248"/>
  <c r="H251"/>
  <c r="E252"/>
  <c r="E253"/>
  <c r="H255"/>
  <c r="E256"/>
  <c r="E257"/>
  <c r="H110"/>
  <c r="E111"/>
  <c r="E112"/>
  <c r="H114"/>
  <c r="E115"/>
  <c r="E116"/>
  <c r="H119"/>
  <c r="E120"/>
  <c r="E121"/>
  <c r="H123"/>
  <c r="E124"/>
  <c r="E125"/>
  <c r="H127"/>
  <c r="E128"/>
  <c r="E129"/>
  <c r="H132"/>
  <c r="E133"/>
  <c r="E134"/>
  <c r="H136"/>
  <c r="E137"/>
  <c r="E138"/>
  <c r="H140"/>
  <c r="E141"/>
  <c r="E142"/>
  <c r="H145"/>
  <c r="E146"/>
  <c r="E147"/>
  <c r="H149"/>
  <c r="E150"/>
  <c r="E151"/>
  <c r="H153"/>
  <c r="E154"/>
  <c r="E155"/>
  <c r="H60"/>
  <c r="E61"/>
  <c r="E62"/>
  <c r="H65"/>
  <c r="E66"/>
  <c r="E67"/>
  <c r="H69"/>
  <c r="E70"/>
  <c r="E71"/>
  <c r="H73"/>
  <c r="E74"/>
  <c r="E75"/>
  <c r="H78"/>
  <c r="E79"/>
  <c r="E80"/>
  <c r="H82"/>
  <c r="E83"/>
  <c r="E84"/>
  <c r="H86"/>
  <c r="E87"/>
  <c r="E88"/>
  <c r="H91"/>
  <c r="E92"/>
  <c r="E93"/>
  <c r="H95"/>
  <c r="E96"/>
  <c r="E97"/>
  <c r="H99"/>
  <c r="E100"/>
  <c r="E101"/>
  <c r="H104"/>
  <c r="E105"/>
  <c r="E106"/>
  <c r="H108"/>
  <c r="D6" i="178"/>
  <c r="D5"/>
  <c r="D6" i="177"/>
  <c r="D5"/>
  <c r="AK198" i="17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I108" s="1"/>
  <c r="AK107"/>
  <c r="I107" s="1"/>
  <c r="AK106"/>
  <c r="I106"/>
  <c r="AK105"/>
  <c r="I105" s="1"/>
  <c r="AK104"/>
  <c r="I104" s="1"/>
  <c r="AK103"/>
  <c r="I103" s="1"/>
  <c r="AK102"/>
  <c r="I102"/>
  <c r="AK101"/>
  <c r="I101" s="1"/>
  <c r="AK100"/>
  <c r="I100" s="1"/>
  <c r="AK99"/>
  <c r="I99" s="1"/>
  <c r="AK98"/>
  <c r="I98" s="1"/>
  <c r="AK97"/>
  <c r="I97" s="1"/>
  <c r="AK96"/>
  <c r="I96" s="1"/>
  <c r="AK95"/>
  <c r="I95" s="1"/>
  <c r="AK94"/>
  <c r="I94"/>
  <c r="AK93"/>
  <c r="I93" s="1"/>
  <c r="AK92"/>
  <c r="I92" s="1"/>
  <c r="AK91"/>
  <c r="I91" s="1"/>
  <c r="AK90"/>
  <c r="I90"/>
  <c r="E90"/>
  <c r="AK89"/>
  <c r="I89" s="1"/>
  <c r="E89"/>
  <c r="AK88"/>
  <c r="I88"/>
  <c r="AK87"/>
  <c r="H87"/>
  <c r="AK86"/>
  <c r="H86"/>
  <c r="AK85"/>
  <c r="H85"/>
  <c r="E85"/>
  <c r="AK84"/>
  <c r="H84"/>
  <c r="E84"/>
  <c r="I84" s="1"/>
  <c r="AK83"/>
  <c r="E83"/>
  <c r="AK82"/>
  <c r="I82" s="1"/>
  <c r="AK81"/>
  <c r="I81" s="1"/>
  <c r="E81"/>
  <c r="AK80"/>
  <c r="I80"/>
  <c r="E80"/>
  <c r="AK79"/>
  <c r="I79" s="1"/>
  <c r="AK78"/>
  <c r="I78" s="1"/>
  <c r="H78"/>
  <c r="AK77"/>
  <c r="I77" s="1"/>
  <c r="H77"/>
  <c r="AK76"/>
  <c r="H76"/>
  <c r="E76"/>
  <c r="AK75"/>
  <c r="H75"/>
  <c r="E75"/>
  <c r="AK74"/>
  <c r="I74" s="1"/>
  <c r="E74"/>
  <c r="AK73"/>
  <c r="H73"/>
  <c r="E73"/>
  <c r="AK72"/>
  <c r="I72"/>
  <c r="AK71"/>
  <c r="I71" s="1"/>
  <c r="AK70"/>
  <c r="I70" s="1"/>
  <c r="E70"/>
  <c r="AK69"/>
  <c r="I69"/>
  <c r="E69"/>
  <c r="AK68"/>
  <c r="I68" s="1"/>
  <c r="AK67"/>
  <c r="I67" s="1"/>
  <c r="H67"/>
  <c r="AK66"/>
  <c r="I66" s="1"/>
  <c r="H66"/>
  <c r="AK65"/>
  <c r="H65"/>
  <c r="E65"/>
  <c r="AK64"/>
  <c r="H64"/>
  <c r="E64"/>
  <c r="AK63"/>
  <c r="I63" s="1"/>
  <c r="E63"/>
  <c r="AK62"/>
  <c r="I62" s="1"/>
  <c r="AK61"/>
  <c r="I61"/>
  <c r="E61"/>
  <c r="AK60"/>
  <c r="I60" s="1"/>
  <c r="E60"/>
  <c r="AK59"/>
  <c r="I59"/>
  <c r="AK58"/>
  <c r="H58"/>
  <c r="AK57"/>
  <c r="H57"/>
  <c r="AK56"/>
  <c r="H56"/>
  <c r="E56"/>
  <c r="AK55"/>
  <c r="H55"/>
  <c r="E55"/>
  <c r="I55" s="1"/>
  <c r="AK54"/>
  <c r="E54"/>
  <c r="AK53"/>
  <c r="H53"/>
  <c r="E53"/>
  <c r="AK52"/>
  <c r="I52" s="1"/>
  <c r="AK51"/>
  <c r="I51" s="1"/>
  <c r="AK50"/>
  <c r="I50"/>
  <c r="AK49"/>
  <c r="E49"/>
  <c r="AK48"/>
  <c r="E48"/>
  <c r="AK47"/>
  <c r="I47" s="1"/>
  <c r="AK46"/>
  <c r="I46" s="1"/>
  <c r="H46"/>
  <c r="AK45"/>
  <c r="I45"/>
  <c r="H45"/>
  <c r="AK44"/>
  <c r="H44"/>
  <c r="E44"/>
  <c r="I44" s="1"/>
  <c r="AK43"/>
  <c r="H43"/>
  <c r="E43"/>
  <c r="AK42"/>
  <c r="I42" s="1"/>
  <c r="E42"/>
  <c r="AK41"/>
  <c r="I41"/>
  <c r="AK40"/>
  <c r="E40"/>
  <c r="AK39"/>
  <c r="E39"/>
  <c r="AK38"/>
  <c r="I38" s="1"/>
  <c r="AK37"/>
  <c r="H37"/>
  <c r="E37"/>
  <c r="I37" s="1"/>
  <c r="AK36"/>
  <c r="H36"/>
  <c r="AK35"/>
  <c r="H35"/>
  <c r="E35"/>
  <c r="AK34"/>
  <c r="H34"/>
  <c r="E34"/>
  <c r="I34" s="1"/>
  <c r="AK33"/>
  <c r="E33"/>
  <c r="AK32"/>
  <c r="I32" s="1"/>
  <c r="AK31"/>
  <c r="I31" s="1"/>
  <c r="AK30"/>
  <c r="I30" s="1"/>
  <c r="E30"/>
  <c r="AK29"/>
  <c r="I29" s="1"/>
  <c r="E29"/>
  <c r="AK28"/>
  <c r="I28" s="1"/>
  <c r="AK27"/>
  <c r="I27"/>
  <c r="H27"/>
  <c r="AK26"/>
  <c r="I26" s="1"/>
  <c r="H26"/>
  <c r="AK25"/>
  <c r="H25"/>
  <c r="E25"/>
  <c r="AK24"/>
  <c r="H24"/>
  <c r="E24"/>
  <c r="AK23"/>
  <c r="I23"/>
  <c r="E23"/>
  <c r="AK22"/>
  <c r="I22" s="1"/>
  <c r="AK21"/>
  <c r="I21" s="1"/>
  <c r="E21"/>
  <c r="AK20"/>
  <c r="I20" s="1"/>
  <c r="E20"/>
  <c r="AK19"/>
  <c r="I19" s="1"/>
  <c r="AK18"/>
  <c r="H18"/>
  <c r="E18"/>
  <c r="AK17"/>
  <c r="I17" s="1"/>
  <c r="H17"/>
  <c r="AK16"/>
  <c r="H16"/>
  <c r="E16"/>
  <c r="AK15"/>
  <c r="H15"/>
  <c r="E15"/>
  <c r="AK14"/>
  <c r="I14" s="1"/>
  <c r="E14"/>
  <c r="AK13"/>
  <c r="H13"/>
  <c r="E13"/>
  <c r="AK12"/>
  <c r="I12"/>
  <c r="AK11"/>
  <c r="I11" s="1"/>
  <c r="AK10"/>
  <c r="I10" s="1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AK498" i="177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K479"/>
  <c r="AK478"/>
  <c r="AK477"/>
  <c r="AK476"/>
  <c r="AK475"/>
  <c r="AK474"/>
  <c r="AK473"/>
  <c r="AK472"/>
  <c r="AK471"/>
  <c r="AK470"/>
  <c r="AK469"/>
  <c r="AK468"/>
  <c r="AK467"/>
  <c r="AK466"/>
  <c r="AK465"/>
  <c r="AK464"/>
  <c r="AK463"/>
  <c r="AK462"/>
  <c r="AK461"/>
  <c r="AK460"/>
  <c r="AK459"/>
  <c r="AK458"/>
  <c r="AK457"/>
  <c r="AK456"/>
  <c r="AK455"/>
  <c r="AK454"/>
  <c r="AK453"/>
  <c r="AK452"/>
  <c r="AK451"/>
  <c r="AK450"/>
  <c r="AK449"/>
  <c r="AK448"/>
  <c r="AK447"/>
  <c r="AK446"/>
  <c r="AK445"/>
  <c r="AK444"/>
  <c r="AK443"/>
  <c r="AK442"/>
  <c r="AK441"/>
  <c r="AK440"/>
  <c r="AK439"/>
  <c r="AK438"/>
  <c r="AK437"/>
  <c r="AK436"/>
  <c r="AK435"/>
  <c r="AK434"/>
  <c r="AK433"/>
  <c r="AK432"/>
  <c r="AK431"/>
  <c r="AK430"/>
  <c r="AK429"/>
  <c r="AK428"/>
  <c r="AK427"/>
  <c r="AK426"/>
  <c r="AK425"/>
  <c r="AK424"/>
  <c r="AK423"/>
  <c r="AK422"/>
  <c r="AK421"/>
  <c r="AK420"/>
  <c r="AK419"/>
  <c r="AK418"/>
  <c r="AK417"/>
  <c r="AK416"/>
  <c r="AK415"/>
  <c r="AK414"/>
  <c r="AK413"/>
  <c r="AK412"/>
  <c r="AK411"/>
  <c r="AK410"/>
  <c r="AK409"/>
  <c r="AK408"/>
  <c r="AK407"/>
  <c r="AK406"/>
  <c r="AK405"/>
  <c r="AK404"/>
  <c r="AK403"/>
  <c r="AK402"/>
  <c r="AK401"/>
  <c r="AK400"/>
  <c r="AK399"/>
  <c r="AK398"/>
  <c r="AK397"/>
  <c r="AK396"/>
  <c r="AK395"/>
  <c r="AK394"/>
  <c r="AK393"/>
  <c r="AK392"/>
  <c r="AK391"/>
  <c r="AK390"/>
  <c r="AK389"/>
  <c r="AK388"/>
  <c r="AK387"/>
  <c r="AK386"/>
  <c r="AK385"/>
  <c r="AK384"/>
  <c r="AK383"/>
  <c r="AK382"/>
  <c r="AK381"/>
  <c r="AK380"/>
  <c r="AK379"/>
  <c r="AK378"/>
  <c r="AK377"/>
  <c r="AK376"/>
  <c r="AK375"/>
  <c r="AK374"/>
  <c r="AK373"/>
  <c r="AK372"/>
  <c r="AK371"/>
  <c r="AK370"/>
  <c r="AK369"/>
  <c r="AK368"/>
  <c r="AK367"/>
  <c r="AK366"/>
  <c r="AK365"/>
  <c r="AK364"/>
  <c r="AK363"/>
  <c r="AK362"/>
  <c r="AK361"/>
  <c r="AK360"/>
  <c r="AK359"/>
  <c r="AK358"/>
  <c r="AK357"/>
  <c r="AK356"/>
  <c r="AK355"/>
  <c r="AK354"/>
  <c r="AK353"/>
  <c r="AK352"/>
  <c r="AK351"/>
  <c r="AK350"/>
  <c r="AK349"/>
  <c r="AK348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K23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E57"/>
  <c r="AK56"/>
  <c r="E56"/>
  <c r="AK55"/>
  <c r="H55"/>
  <c r="AK54"/>
  <c r="AK53"/>
  <c r="E53"/>
  <c r="AK52"/>
  <c r="E52"/>
  <c r="AK51"/>
  <c r="H51"/>
  <c r="AK50"/>
  <c r="AK49"/>
  <c r="AK48"/>
  <c r="E48"/>
  <c r="AK47"/>
  <c r="E47"/>
  <c r="AK46"/>
  <c r="H46"/>
  <c r="AK45"/>
  <c r="AK44"/>
  <c r="E44"/>
  <c r="AK43"/>
  <c r="E43"/>
  <c r="AK42"/>
  <c r="H42"/>
  <c r="AK41"/>
  <c r="AK40"/>
  <c r="E40"/>
  <c r="AK39"/>
  <c r="E39"/>
  <c r="AK38"/>
  <c r="H38"/>
  <c r="AK37"/>
  <c r="AK36"/>
  <c r="AK35"/>
  <c r="E35"/>
  <c r="AK34"/>
  <c r="E34"/>
  <c r="AK33"/>
  <c r="H33"/>
  <c r="AK32"/>
  <c r="AK31"/>
  <c r="E31"/>
  <c r="AK30"/>
  <c r="E30"/>
  <c r="AK29"/>
  <c r="H29"/>
  <c r="AK28"/>
  <c r="AK27"/>
  <c r="E27"/>
  <c r="AK26"/>
  <c r="E26"/>
  <c r="AK25"/>
  <c r="H25"/>
  <c r="AK24"/>
  <c r="AK23"/>
  <c r="AK22"/>
  <c r="E22"/>
  <c r="AK21"/>
  <c r="E21"/>
  <c r="AK20"/>
  <c r="H20"/>
  <c r="AK19"/>
  <c r="AK18"/>
  <c r="E18"/>
  <c r="AK17"/>
  <c r="E17"/>
  <c r="AK16"/>
  <c r="H16"/>
  <c r="AK15"/>
  <c r="AK14"/>
  <c r="E14"/>
  <c r="AK13"/>
  <c r="E13"/>
  <c r="AK12"/>
  <c r="H12"/>
  <c r="AK11"/>
  <c r="I11" s="1"/>
  <c r="AK10"/>
  <c r="I10" s="1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H54" i="175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I15" i="178" l="1"/>
  <c r="I18"/>
  <c r="I25"/>
  <c r="I33"/>
  <c r="I35"/>
  <c r="I36"/>
  <c r="I39"/>
  <c r="I40"/>
  <c r="I43"/>
  <c r="I48"/>
  <c r="I49"/>
  <c r="I53"/>
  <c r="I54"/>
  <c r="I56"/>
  <c r="I57"/>
  <c r="I58"/>
  <c r="I64"/>
  <c r="I75"/>
  <c r="I83"/>
  <c r="I85"/>
  <c r="I86"/>
  <c r="I87"/>
  <c r="I13"/>
  <c r="I109" s="1"/>
  <c r="I16"/>
  <c r="I24"/>
  <c r="I65"/>
  <c r="I73"/>
  <c r="I76"/>
  <c r="I12" i="177"/>
  <c r="I113" i="178" l="1"/>
  <c r="K8" s="1"/>
  <c r="I413" i="177"/>
  <c r="K8" s="1"/>
  <c r="D6" i="176" l="1"/>
  <c r="D5"/>
  <c r="AK59"/>
  <c r="AK58"/>
  <c r="I58"/>
  <c r="AK57"/>
  <c r="I57" s="1"/>
  <c r="AK56"/>
  <c r="I56"/>
  <c r="AK55"/>
  <c r="I55" s="1"/>
  <c r="AK54"/>
  <c r="I54"/>
  <c r="AK53"/>
  <c r="I53" s="1"/>
  <c r="AK52"/>
  <c r="I52"/>
  <c r="AK51"/>
  <c r="I51" s="1"/>
  <c r="AK50"/>
  <c r="I50"/>
  <c r="AK49"/>
  <c r="I49" s="1"/>
  <c r="AK48"/>
  <c r="I48"/>
  <c r="AK47"/>
  <c r="I47" s="1"/>
  <c r="AK46"/>
  <c r="I46"/>
  <c r="AK45"/>
  <c r="I45" s="1"/>
  <c r="AK44"/>
  <c r="I44"/>
  <c r="AK43"/>
  <c r="I43" s="1"/>
  <c r="AK42"/>
  <c r="I42"/>
  <c r="AK41"/>
  <c r="I41" s="1"/>
  <c r="AK40"/>
  <c r="I40"/>
  <c r="AK39"/>
  <c r="I39" s="1"/>
  <c r="AK38"/>
  <c r="I38" s="1"/>
  <c r="AK37"/>
  <c r="I37" s="1"/>
  <c r="AK36"/>
  <c r="I36" s="1"/>
  <c r="AK35"/>
  <c r="I35" s="1"/>
  <c r="AK34"/>
  <c r="I34" s="1"/>
  <c r="AK33"/>
  <c r="I33" s="1"/>
  <c r="AK32"/>
  <c r="I32" s="1"/>
  <c r="AK31"/>
  <c r="I31" s="1"/>
  <c r="AK30"/>
  <c r="I30" s="1"/>
  <c r="AK29"/>
  <c r="I29" s="1"/>
  <c r="AK28"/>
  <c r="I28" s="1"/>
  <c r="AK27"/>
  <c r="I27" s="1"/>
  <c r="AK26"/>
  <c r="I26" s="1"/>
  <c r="AK25"/>
  <c r="I25" s="1"/>
  <c r="AK24"/>
  <c r="I24" s="1"/>
  <c r="AK23"/>
  <c r="I23" s="1"/>
  <c r="AK22"/>
  <c r="I22"/>
  <c r="AK21"/>
  <c r="I21" s="1"/>
  <c r="AK20"/>
  <c r="I20" s="1"/>
  <c r="AK19"/>
  <c r="I19" s="1"/>
  <c r="AK18"/>
  <c r="I18" s="1"/>
  <c r="AK17"/>
  <c r="I17" s="1"/>
  <c r="AK16"/>
  <c r="I16"/>
  <c r="AK15"/>
  <c r="I15" s="1"/>
  <c r="AK14"/>
  <c r="I14"/>
  <c r="AK13"/>
  <c r="I13" s="1"/>
  <c r="AK12"/>
  <c r="I12"/>
  <c r="AK11"/>
  <c r="I11" s="1"/>
  <c r="E11"/>
  <c r="AK10"/>
  <c r="I10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AK9"/>
  <c r="I9"/>
  <c r="B9"/>
  <c r="I63" l="1"/>
  <c r="K8" s="1"/>
  <c r="I61" i="175"/>
  <c r="I60"/>
  <c r="I59"/>
  <c r="I58"/>
  <c r="I57"/>
  <c r="I56"/>
  <c r="I55"/>
  <c r="B55"/>
  <c r="B56" s="1"/>
  <c r="B57" s="1"/>
  <c r="B58" s="1"/>
  <c r="B59" s="1"/>
  <c r="B60" s="1"/>
  <c r="B61" s="1"/>
  <c r="I54"/>
  <c r="I53"/>
  <c r="I52"/>
  <c r="I51"/>
  <c r="I50"/>
  <c r="I49"/>
  <c r="I48"/>
  <c r="I47"/>
  <c r="I46"/>
  <c r="I45"/>
  <c r="I44"/>
  <c r="I43"/>
  <c r="B43"/>
  <c r="B44" s="1"/>
  <c r="B45" s="1"/>
  <c r="B46" s="1"/>
  <c r="B47" s="1"/>
  <c r="B48" s="1"/>
  <c r="B49" s="1"/>
  <c r="B50" s="1"/>
  <c r="B51" s="1"/>
  <c r="B52" s="1"/>
  <c r="I42"/>
  <c r="I41"/>
  <c r="I40"/>
  <c r="I39"/>
  <c r="I38"/>
  <c r="I37"/>
  <c r="I36"/>
  <c r="I35"/>
  <c r="I34"/>
  <c r="B34"/>
  <c r="B35" s="1"/>
  <c r="B36" s="1"/>
  <c r="B37" s="1"/>
  <c r="B38" s="1"/>
  <c r="I33"/>
  <c r="I32"/>
  <c r="I31"/>
  <c r="I30"/>
  <c r="I29"/>
  <c r="I28"/>
  <c r="I27"/>
  <c r="I26"/>
  <c r="B26"/>
  <c r="B27" s="1"/>
  <c r="B28" s="1"/>
  <c r="B29" s="1"/>
  <c r="B30" s="1"/>
  <c r="I25"/>
  <c r="I24"/>
  <c r="I23"/>
  <c r="I22"/>
  <c r="I21"/>
  <c r="I20"/>
  <c r="I19"/>
  <c r="I18"/>
  <c r="I17"/>
  <c r="I16"/>
  <c r="I15"/>
  <c r="I14"/>
  <c r="I13"/>
  <c r="I12"/>
  <c r="AK11"/>
  <c r="I11" s="1"/>
  <c r="AK10"/>
  <c r="I10" s="1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D6"/>
  <c r="D5"/>
  <c r="D6" i="174"/>
  <c r="D5"/>
  <c r="AK112"/>
  <c r="AK111"/>
  <c r="I111" s="1"/>
  <c r="AK110"/>
  <c r="I110" s="1"/>
  <c r="AK109"/>
  <c r="I109" s="1"/>
  <c r="AK108"/>
  <c r="I108" s="1"/>
  <c r="AK107"/>
  <c r="I107" s="1"/>
  <c r="AK106"/>
  <c r="I106" s="1"/>
  <c r="AK105"/>
  <c r="I105" s="1"/>
  <c r="AK104"/>
  <c r="I104" s="1"/>
  <c r="AK103"/>
  <c r="I103" s="1"/>
  <c r="AK102"/>
  <c r="I102" s="1"/>
  <c r="AK101"/>
  <c r="I101" s="1"/>
  <c r="AK100"/>
  <c r="I100" s="1"/>
  <c r="AK99"/>
  <c r="I99" s="1"/>
  <c r="AK98"/>
  <c r="I98" s="1"/>
  <c r="AK97"/>
  <c r="I97" s="1"/>
  <c r="AK96"/>
  <c r="I96" s="1"/>
  <c r="AK95"/>
  <c r="I95" s="1"/>
  <c r="AK94"/>
  <c r="I94" s="1"/>
  <c r="AK93"/>
  <c r="I93" s="1"/>
  <c r="AK92"/>
  <c r="I92" s="1"/>
  <c r="AK91"/>
  <c r="I91" s="1"/>
  <c r="AK90"/>
  <c r="I90" s="1"/>
  <c r="AK89"/>
  <c r="I89" s="1"/>
  <c r="AK88"/>
  <c r="I88" s="1"/>
  <c r="AK87"/>
  <c r="I87" s="1"/>
  <c r="AK86"/>
  <c r="I86" s="1"/>
  <c r="AK85"/>
  <c r="I85" s="1"/>
  <c r="AK84"/>
  <c r="I84" s="1"/>
  <c r="AK83"/>
  <c r="I83" s="1"/>
  <c r="AK82"/>
  <c r="I82" s="1"/>
  <c r="AK81"/>
  <c r="I81" s="1"/>
  <c r="AK80"/>
  <c r="I80" s="1"/>
  <c r="AK79"/>
  <c r="I79" s="1"/>
  <c r="AK78"/>
  <c r="I78" s="1"/>
  <c r="AK77"/>
  <c r="I77" s="1"/>
  <c r="AK76"/>
  <c r="I76" s="1"/>
  <c r="AK75"/>
  <c r="I75" s="1"/>
  <c r="AK74"/>
  <c r="I74" s="1"/>
  <c r="AK73"/>
  <c r="I73" s="1"/>
  <c r="AK72"/>
  <c r="I72" s="1"/>
  <c r="AK71"/>
  <c r="I71" s="1"/>
  <c r="AK70"/>
  <c r="I70" s="1"/>
  <c r="AK69"/>
  <c r="I69" s="1"/>
  <c r="AK68"/>
  <c r="I68" s="1"/>
  <c r="AK67"/>
  <c r="I67" s="1"/>
  <c r="AK66"/>
  <c r="I66" s="1"/>
  <c r="AK65"/>
  <c r="I65" s="1"/>
  <c r="AK64"/>
  <c r="I64" s="1"/>
  <c r="AK63"/>
  <c r="I63" s="1"/>
  <c r="AK62"/>
  <c r="I62" s="1"/>
  <c r="AK61"/>
  <c r="I61" s="1"/>
  <c r="AK60"/>
  <c r="I60" s="1"/>
  <c r="AK59"/>
  <c r="I59" s="1"/>
  <c r="AK58"/>
  <c r="I58" s="1"/>
  <c r="AK57"/>
  <c r="H57"/>
  <c r="E57"/>
  <c r="AK56"/>
  <c r="H56"/>
  <c r="E56"/>
  <c r="AK55"/>
  <c r="I55" s="1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AK54"/>
  <c r="H54"/>
  <c r="E54"/>
  <c r="AK53"/>
  <c r="I53" s="1"/>
  <c r="H53"/>
  <c r="AK52"/>
  <c r="I52" s="1"/>
  <c r="E52"/>
  <c r="AK51"/>
  <c r="I51" s="1"/>
  <c r="AK50"/>
  <c r="H50"/>
  <c r="E50"/>
  <c r="AK49"/>
  <c r="H49"/>
  <c r="E49"/>
  <c r="AK48"/>
  <c r="I48" s="1"/>
  <c r="AK47"/>
  <c r="H47"/>
  <c r="E47"/>
  <c r="AK46"/>
  <c r="H46"/>
  <c r="E46"/>
  <c r="AK45"/>
  <c r="I45" s="1"/>
  <c r="AK44"/>
  <c r="I44" s="1"/>
  <c r="H44"/>
  <c r="E44"/>
  <c r="AK43"/>
  <c r="H43"/>
  <c r="E43"/>
  <c r="B43"/>
  <c r="B44" s="1"/>
  <c r="B45" s="1"/>
  <c r="B46" s="1"/>
  <c r="B47" s="1"/>
  <c r="B48" s="1"/>
  <c r="B49" s="1"/>
  <c r="B50" s="1"/>
  <c r="B51" s="1"/>
  <c r="B52" s="1"/>
  <c r="AK42"/>
  <c r="I42" s="1"/>
  <c r="AK41"/>
  <c r="I41" s="1"/>
  <c r="AK40"/>
  <c r="H40"/>
  <c r="E40"/>
  <c r="AK39"/>
  <c r="I39" s="1"/>
  <c r="H39"/>
  <c r="AK38"/>
  <c r="I38" s="1"/>
  <c r="AK37"/>
  <c r="I37" s="1"/>
  <c r="AK36"/>
  <c r="I36" s="1"/>
  <c r="H36"/>
  <c r="E36"/>
  <c r="AK35"/>
  <c r="H35"/>
  <c r="E35"/>
  <c r="AK34"/>
  <c r="I34" s="1"/>
  <c r="B34"/>
  <c r="B35" s="1"/>
  <c r="B36" s="1"/>
  <c r="B37" s="1"/>
  <c r="B38" s="1"/>
  <c r="AK33"/>
  <c r="I33" s="1"/>
  <c r="AK32"/>
  <c r="H32"/>
  <c r="E32"/>
  <c r="AK31"/>
  <c r="I31" s="1"/>
  <c r="H31"/>
  <c r="AK30"/>
  <c r="E30"/>
  <c r="AK29"/>
  <c r="I29" s="1"/>
  <c r="AK28"/>
  <c r="H28"/>
  <c r="E28"/>
  <c r="AK27"/>
  <c r="H27"/>
  <c r="E27"/>
  <c r="AK26"/>
  <c r="I26" s="1"/>
  <c r="B26"/>
  <c r="B27" s="1"/>
  <c r="B28" s="1"/>
  <c r="B29" s="1"/>
  <c r="B30" s="1"/>
  <c r="AK25"/>
  <c r="H25"/>
  <c r="E25"/>
  <c r="AK24"/>
  <c r="I24" s="1"/>
  <c r="AK23"/>
  <c r="H23"/>
  <c r="AK22"/>
  <c r="E22"/>
  <c r="AK21"/>
  <c r="I21" s="1"/>
  <c r="AK20"/>
  <c r="H20"/>
  <c r="E20"/>
  <c r="AK19"/>
  <c r="H19"/>
  <c r="AK18"/>
  <c r="I18" s="1"/>
  <c r="E18"/>
  <c r="AK17"/>
  <c r="I17" s="1"/>
  <c r="AK16"/>
  <c r="H16"/>
  <c r="E16"/>
  <c r="AK15"/>
  <c r="I15" s="1"/>
  <c r="H15"/>
  <c r="E15"/>
  <c r="AK14"/>
  <c r="E14"/>
  <c r="AK13"/>
  <c r="I13" s="1"/>
  <c r="AK12"/>
  <c r="I12" s="1"/>
  <c r="H12"/>
  <c r="E12"/>
  <c r="AK11"/>
  <c r="I11" s="1"/>
  <c r="H11"/>
  <c r="AK10"/>
  <c r="I10" s="1"/>
  <c r="AK9"/>
  <c r="I9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I62" i="175" l="1"/>
  <c r="I47" i="174"/>
  <c r="I49"/>
  <c r="I43"/>
  <c r="I66" i="175"/>
  <c r="K8" s="1"/>
  <c r="I56" i="174"/>
  <c r="I28"/>
  <c r="I14"/>
  <c r="I16"/>
  <c r="I19"/>
  <c r="I20"/>
  <c r="I22"/>
  <c r="I23"/>
  <c r="I25"/>
  <c r="I27"/>
  <c r="I30"/>
  <c r="I32"/>
  <c r="I35"/>
  <c r="I40"/>
  <c r="I46"/>
  <c r="I50"/>
  <c r="I54"/>
  <c r="I57"/>
  <c r="I112" l="1"/>
  <c r="I116" s="1"/>
  <c r="K8" s="1"/>
  <c r="B11" i="171" l="1"/>
  <c r="D4" i="187" l="1"/>
  <c r="D4" i="186"/>
  <c r="D4" i="185"/>
  <c r="D4" i="184"/>
  <c r="D4" i="182"/>
  <c r="D4" i="183"/>
  <c r="D4" i="181"/>
  <c r="D4" i="177"/>
  <c r="D4" i="178"/>
  <c r="D4" i="176"/>
  <c r="D4" i="175"/>
  <c r="D4" i="174"/>
</calcChain>
</file>

<file path=xl/sharedStrings.xml><?xml version="1.0" encoding="utf-8"?>
<sst xmlns="http://schemas.openxmlformats.org/spreadsheetml/2006/main" count="3991" uniqueCount="620">
  <si>
    <t>Rebar Estimation Cover Sheet</t>
  </si>
  <si>
    <t>Revision No  :</t>
  </si>
  <si>
    <t>Bid Type  :</t>
  </si>
  <si>
    <t>Address:</t>
  </si>
  <si>
    <t>Fax:</t>
  </si>
  <si>
    <t>Phone:</t>
  </si>
  <si>
    <t>Specifications :</t>
  </si>
  <si>
    <t>Addendum :</t>
  </si>
  <si>
    <t>Inclusion :</t>
  </si>
  <si>
    <t>Assumptions :</t>
  </si>
  <si>
    <t>Notes :</t>
  </si>
  <si>
    <t>Exclusion: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</si>
  <si>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</si>
  <si>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Drawing Used For Estimate :</t>
  </si>
  <si>
    <t>1.Deformed Reinforcing bars shall be ASTM 615 Grade 60,  Domestic or Non-Domestic</t>
  </si>
  <si>
    <t>2. All Rebar supports as per standard practice.</t>
  </si>
  <si>
    <t>As per Section 03300- Reinforcement.</t>
  </si>
  <si>
    <t>None.</t>
  </si>
  <si>
    <t>.</t>
  </si>
  <si>
    <t>Estimation Number:</t>
  </si>
  <si>
    <t xml:space="preserve">Bid Date: </t>
  </si>
  <si>
    <r>
      <t xml:space="preserve">Architect:  </t>
    </r>
    <r>
      <rPr>
        <sz val="10"/>
        <rFont val="Arial"/>
        <family val="2"/>
      </rPr>
      <t>ENVIRONS</t>
    </r>
  </si>
  <si>
    <t>-</t>
  </si>
  <si>
    <t xml:space="preserve">Engineer: </t>
  </si>
  <si>
    <t>1.Site</t>
  </si>
  <si>
    <t>Project No    :</t>
  </si>
  <si>
    <t>11650 PICO BOULEVARD</t>
  </si>
  <si>
    <t>HAMPSTEAD HEATH APARTMENTS</t>
  </si>
  <si>
    <t>ROBERT JAMES TAYLOR ARCHITECTS</t>
  </si>
  <si>
    <t>MASOUD DEJBAN &amp; ASSOCIATES, INC.</t>
  </si>
  <si>
    <t xml:space="preserve"> Str : S-1 THRU S-17 (Date :OCT-13-2014)</t>
  </si>
  <si>
    <t>3.Rebar Welded to Structural Steel.</t>
  </si>
  <si>
    <t>4. Storm Sewer and electrical structures not listed in quote</t>
  </si>
  <si>
    <t>2.Masonry Walls.</t>
  </si>
  <si>
    <t>LOS ANGELES,CA 90064.</t>
  </si>
  <si>
    <t>818-247-3495.</t>
  </si>
  <si>
    <t>818-784-5571.</t>
  </si>
  <si>
    <t>1.Footings,SOG,Conc.Walls &amp; ColumnS</t>
  </si>
  <si>
    <t>2. Slabs,Beams,Drop panels &amp; Stairs</t>
  </si>
  <si>
    <t xml:space="preserve">1.In Structural Drawing showing Eleve.pit.But reinforcement details not shown </t>
  </si>
  <si>
    <t xml:space="preserve">JOB NAME- </t>
  </si>
  <si>
    <t>LOCATIONS</t>
  </si>
  <si>
    <t>BID DATE</t>
  </si>
  <si>
    <t>SL.No</t>
  </si>
  <si>
    <t>Element</t>
  </si>
  <si>
    <t>Multi</t>
  </si>
  <si>
    <t>Qty</t>
  </si>
  <si>
    <t>Bar Dia</t>
  </si>
  <si>
    <t>Bend Type</t>
  </si>
  <si>
    <t>Length</t>
  </si>
  <si>
    <t>Weight(LBS)</t>
  </si>
  <si>
    <t>Grade</t>
  </si>
  <si>
    <t>Unit Weight</t>
  </si>
  <si>
    <t xml:space="preserve">SHEET NO:S2 FOUNDATION PLAN </t>
  </si>
  <si>
    <t>PAD FOOTINGS</t>
  </si>
  <si>
    <t>F2(7'-6"x4'-0"x3'-6"THK) (3 LOCS)</t>
  </si>
  <si>
    <t>#6 @12 BOT LW</t>
  </si>
  <si>
    <t>STR</t>
  </si>
  <si>
    <t>#6 @12 BOT SW</t>
  </si>
  <si>
    <t>F3(7'-0"x7'-0"x2'-0"THK) (2 LOCS)</t>
  </si>
  <si>
    <t>8 #6 BOT EW</t>
  </si>
  <si>
    <t>STK</t>
  </si>
  <si>
    <t>F4(8'-0"x8'-0"x2'-2"THK)</t>
  </si>
  <si>
    <t>8 #7 BOT EW</t>
  </si>
  <si>
    <t>3E</t>
  </si>
  <si>
    <t>BNT</t>
  </si>
  <si>
    <t>F5(9'-0"x9'-O"x2'-4"THK) (2 LOCS)</t>
  </si>
  <si>
    <t>9 #7 BOT EW</t>
  </si>
  <si>
    <t>4E</t>
  </si>
  <si>
    <t>BNT/CP</t>
  </si>
  <si>
    <t>F6(10'-0"x10'-0"x2'-8"THK) (4 LOCS)</t>
  </si>
  <si>
    <t>STR/CP</t>
  </si>
  <si>
    <t>9 #8BOT EW</t>
  </si>
  <si>
    <t>5E</t>
  </si>
  <si>
    <t>BNT/TH</t>
  </si>
  <si>
    <t>F7(11'-0"x11'-0"x3'-0"THK) (7 LOCS)</t>
  </si>
  <si>
    <t>STR/TH</t>
  </si>
  <si>
    <t>10 #8 BOT EW</t>
  </si>
  <si>
    <t>6E</t>
  </si>
  <si>
    <t>STK/CP</t>
  </si>
  <si>
    <t>F8(12'-0"x12'-0"x3'-4"THK) (6 LOCS)</t>
  </si>
  <si>
    <t>STK/TH</t>
  </si>
  <si>
    <t>11 #8 BOT EW</t>
  </si>
  <si>
    <t>7E</t>
  </si>
  <si>
    <t>8E</t>
  </si>
  <si>
    <t>9E</t>
  </si>
  <si>
    <t>10E</t>
  </si>
  <si>
    <t>11E</t>
  </si>
  <si>
    <t>14E</t>
  </si>
  <si>
    <t>18E</t>
  </si>
  <si>
    <t>Total Weight</t>
  </si>
  <si>
    <t>"</t>
  </si>
  <si>
    <t>BAR INPUT - P2-WALL FOOTINGS</t>
  </si>
  <si>
    <t>JOB NAME</t>
  </si>
  <si>
    <t>SHT NO:S-2 FOUNDATION PLAN</t>
  </si>
  <si>
    <t>WALL FTG (1'-6"x1'-0"DP) SEC:5/S-11</t>
  </si>
  <si>
    <t xml:space="preserve">#5 @12" BOT LW </t>
  </si>
  <si>
    <t>#5 @12" BOT SW</t>
  </si>
  <si>
    <t>WALL FTG (2'-0"x1'-0"DP) SEC:8,10/S-11</t>
  </si>
  <si>
    <t>WALL  FTG (2'-10"x1'-2"DP)SEC :2,11/S-11</t>
  </si>
  <si>
    <t>WALL FTG (3'-0"x1'-2"DP)SEC: 14/S-11</t>
  </si>
  <si>
    <t>#5 @12" BOT LW</t>
  </si>
  <si>
    <t>#5 @12" COR BAR</t>
  </si>
  <si>
    <t>WALL FTG (3'-4"x1'-4"DP)SEC: 6/S-11</t>
  </si>
  <si>
    <t>WALL FTG (3'-6"x1'-4"DP)SEC: 2,10/S-11</t>
  </si>
  <si>
    <t>WALL FTG (3'-8"x1'-4"DP)SEC 10/S-11</t>
  </si>
  <si>
    <t>WALL FTG (4'-0"x1'-4"DP)SEC: 1,2,11/S-11</t>
  </si>
  <si>
    <t xml:space="preserve">WALL FTG (4'-4"x1'-6") </t>
  </si>
  <si>
    <t>WALL FTG (5'-0"x1'6")SEC: 10/S-11</t>
  </si>
  <si>
    <t>WALL FTG (5'-6"x1'-8")SEC: 3/S-11</t>
  </si>
  <si>
    <t>WALL FTG (6'-0"x1'-8")SEC: 9/S-11</t>
  </si>
  <si>
    <t>WALL FTG (7'-0"x1'-8")</t>
  </si>
  <si>
    <t>CMU WALL DWLS</t>
  </si>
  <si>
    <t xml:space="preserve">#5 @16" DWLS </t>
  </si>
  <si>
    <t>BAR INPUT - P2-SLAB ON GRADE</t>
  </si>
  <si>
    <t>SHT.NO: S-2  FOUNDATION  PLAN</t>
  </si>
  <si>
    <t>5" THK SLAB ON GRADE[AREA=17678 SQ.FT]</t>
  </si>
  <si>
    <t>#4 @16" BOT EW</t>
  </si>
  <si>
    <t>#4 @16" SLAB DWLS</t>
  </si>
  <si>
    <t>THICKENED FTGS</t>
  </si>
  <si>
    <t>5#5 BOT LW</t>
  </si>
  <si>
    <t>#5 @ 12" SW</t>
  </si>
  <si>
    <t>6#7  Z-BAR</t>
  </si>
  <si>
    <t>8" THK SUMP PIT (SEC:15/S-11) (2LOCS)</t>
  </si>
  <si>
    <t>#5 @12" D/V</t>
  </si>
  <si>
    <t>#4 @12" HORZ</t>
  </si>
  <si>
    <t>#4 @12" COR BAR</t>
  </si>
  <si>
    <t>#4 @12" DWLS</t>
  </si>
  <si>
    <t>COLUMN DWLS</t>
  </si>
  <si>
    <t>6- #10 DWLS</t>
  </si>
  <si>
    <t>6- #9 DWLS</t>
  </si>
  <si>
    <t>6- #8 DWLS</t>
  </si>
  <si>
    <t>8- #8 DWLS</t>
  </si>
  <si>
    <t>BAR INPUT - COLUMNS</t>
  </si>
  <si>
    <t>12"x 24" CONC. COLUMN (SEC: 7/S-11)F8</t>
  </si>
  <si>
    <t>(P2/LVL:134.50 TO P1/LVL:144.40)</t>
  </si>
  <si>
    <t>6- #10 VERTS</t>
  </si>
  <si>
    <t>#3 @4" TIES</t>
  </si>
  <si>
    <t>#3 @4" H-PINS</t>
  </si>
  <si>
    <t>(P1/LVL:144.40 TO 1ST FLR LVL:155.70)</t>
  </si>
  <si>
    <t>(1ST FLR LVL:155.70 TO 2ND FLR LVL:168.75)</t>
  </si>
  <si>
    <t>6- #10 VERTS H1E</t>
  </si>
  <si>
    <t>(P2/LVL:135.80 TO P1/LVL:145.80)</t>
  </si>
  <si>
    <t>(P1/LVL:145.80 TO 1ST FLR /LVL:155.70)</t>
  </si>
  <si>
    <t>(1ST FLR/LVL:155.70 TO 2ND FLR LVL:168.75)</t>
  </si>
  <si>
    <t>(P2/LVL:137.20 TO P1/LVL:147.20)</t>
  </si>
  <si>
    <t>(P1/LVL:147.20 TO 1ST FLR /LVL:156.35)</t>
  </si>
  <si>
    <t>(1ST FLR LVL:156.35 TO 2ND FLR LVL:168.75)</t>
  </si>
  <si>
    <t>(1ST FLR LVL:155.70 TO 2ND FLRLVL:168.75)</t>
  </si>
  <si>
    <t>(P2/LVL:135.90 TO P1/LVL:145.80)</t>
  </si>
  <si>
    <t>(P1/LVL:145.80 TO 1ST FLR LVL:156.90)</t>
  </si>
  <si>
    <t xml:space="preserve">6- #10 VERTS </t>
  </si>
  <si>
    <t>(1ST FLR LVL:156.90 TO 2ND FLR LVL:168.75)</t>
  </si>
  <si>
    <t>12"x 24" CONC. COLUMN (SEC: 7/S-11)F6</t>
  </si>
  <si>
    <t>6- #9 VERTS</t>
  </si>
  <si>
    <t>6- #9 VERTS H1E</t>
  </si>
  <si>
    <t>1ST FLR LVL:155.70 TO 2ND FLR LVL:168.75)</t>
  </si>
  <si>
    <t>(P2/LVL:137.40 TO P1/LVL:149.0)</t>
  </si>
  <si>
    <t>(P1/LVL:149.0 TO 1ST FLR LVL:157.0)</t>
  </si>
  <si>
    <t>(1ST FLR LVL:157.0 TO 2ND FLR LVL:168.75)</t>
  </si>
  <si>
    <t>(P2/LVL:137.40 TO P1/LVL:147.20)</t>
  </si>
  <si>
    <t>(P1/LVL:147.20 TO 1ST FLR LVL:156.95)</t>
  </si>
  <si>
    <t>(1ST FLR LVL:156.95 TO 2ND FLR LVL:168.75)</t>
  </si>
  <si>
    <t>(P2/LVL:137.60 TO P1/LVL:147.20)</t>
  </si>
  <si>
    <t>12"x 24" CONC. COLUMN (SEC: 7/S-11)F5</t>
  </si>
  <si>
    <t>(P2/LVL:136.80 TO P1/LVL:148.60)</t>
  </si>
  <si>
    <t>(P1/LVL:148.60 TO 1ST FLR LVL:157.0)</t>
  </si>
  <si>
    <t>12"x 24" CONC. COLUMN (SEC: 7/S-11)F7</t>
  </si>
  <si>
    <t>(P1/LVL:144.40 TO 1ST FLR LVL:156.90)</t>
  </si>
  <si>
    <t>(P2/LVL:134.70 TO P1/LVL:143.40)</t>
  </si>
  <si>
    <t>(P1/LVL:143.40 TO 1ST FLR LVL:157.20)</t>
  </si>
  <si>
    <t>(1ST FLR LVL:157.20 TO 2ND FLR LVL:168.75)</t>
  </si>
  <si>
    <t>(P2/LVL:136.90 TO P1/LVL:146.80)</t>
  </si>
  <si>
    <t>(P1/LVL:146.80 TO 1ST FLR LVL:156.95)</t>
  </si>
  <si>
    <t>(P2/LVL:132.60 TO P1/LVL:142.40) (2LOCS)</t>
  </si>
  <si>
    <t>(P1/LVL:142.40 TO 1ST FLR LVL:157.25)</t>
  </si>
  <si>
    <t>(1ST FLR LVL:157.25 TO 2ND FLR LVL:168.75)</t>
  </si>
  <si>
    <t>(P2/LVL:137.40 TO P1/LVL:149.20)</t>
  </si>
  <si>
    <t>(P1/LVL:149.20 TO 1ST FLR LVL:157.0)</t>
  </si>
  <si>
    <t>(P2/LVL:137.40 TO P1/LVL:149.50)</t>
  </si>
  <si>
    <t>(P1/LVL:149.50 TO 1ST FLR LVL:157.0)</t>
  </si>
  <si>
    <t>12"x 24" CONC. COLUMN (SEC: 7/S-11)F4</t>
  </si>
  <si>
    <t>(P2/LVL:133.60 TO P1/LVL:143.40)</t>
  </si>
  <si>
    <t>(P1/LVL:143.40 TO 1ST FLR LVL:157.15)</t>
  </si>
  <si>
    <t>(1ST FLR LVL:157.15 TO S2ND FLR LVL:168.75)</t>
  </si>
  <si>
    <t>12"x 24" CONC. COLUMN (SEC: 7/S-11)F3</t>
  </si>
  <si>
    <t>(P2/LVL:137.50 TO P1/LVL:147.30) (2LOCS)</t>
  </si>
  <si>
    <t>(P1/LVL:147.30 TO 1ST FLR LVL:156.70)</t>
  </si>
  <si>
    <t>(1ST FLR LVL:156.70 TO 2ND FLR LVL:168.75)</t>
  </si>
  <si>
    <t>12"x 24" CONC. COLUMN (SEC: 7/S-11)F2</t>
  </si>
  <si>
    <t>10"x 24" CONC. COLUMN (SEC: 7/S-11)F2</t>
  </si>
  <si>
    <t>6- #8 VERTS</t>
  </si>
  <si>
    <t>6- #8 VERTS H1E</t>
  </si>
  <si>
    <t>18"x 24" CONC. COLUMN (SEC: 7/S-11)F2</t>
  </si>
  <si>
    <t>(P2/LVL:137.60 TO P1/LVL:147.40)</t>
  </si>
  <si>
    <t>(P1/LVL:147.40 TO1ST FLR LVL:156.70)</t>
  </si>
  <si>
    <t>10"x 48" CONC. COLUMN (SEC: 7/S-11) 2'-0" THK FTG</t>
  </si>
  <si>
    <t>(P2/LVL:137.40 TO P1/LVL:147.20) (2LOCS)</t>
  </si>
  <si>
    <t>8- #8 VERTS</t>
  </si>
  <si>
    <t>8- #8 VERTS H1E</t>
  </si>
  <si>
    <t>(P1/LVL:147.20 TO1ST FLR LVL:156.95)</t>
  </si>
  <si>
    <t>(P1/LVL:142.40 TO 1ST FLR LVL:157.36)</t>
  </si>
  <si>
    <t>1ST FLR LVL:157.36 TO 2ND FLR LVL:168.75)</t>
  </si>
  <si>
    <t>(P1/LVL:142.40 TO 1ST FLR LVL:157.76)</t>
  </si>
  <si>
    <t>(1ST FLR LVL:157.76 TO 2ND FLR LVL:168.75)</t>
  </si>
  <si>
    <t>CONC.STAIR - 1</t>
  </si>
  <si>
    <t>(P2/LVL:137.50 TO P1/LVL:147.30)</t>
  </si>
  <si>
    <t>UP-FLIGHT</t>
  </si>
  <si>
    <t>#4  @16" DWLS</t>
  </si>
  <si>
    <t xml:space="preserve">#4  @16" LW </t>
  </si>
  <si>
    <t xml:space="preserve">#4  @16" SW </t>
  </si>
  <si>
    <t xml:space="preserve">#4 @16"  SW DWLS </t>
  </si>
  <si>
    <t>2 #4 ADD HORZ BAR</t>
  </si>
  <si>
    <t>#3 NOSING BAR</t>
  </si>
  <si>
    <t>MID-LANDING</t>
  </si>
  <si>
    <t xml:space="preserve">#4  @16" SW  </t>
  </si>
  <si>
    <t>DOWN-FLIGHT</t>
  </si>
  <si>
    <t>FLOOR-LANDING</t>
  </si>
  <si>
    <t>(P2/LVL:147.30 TO P1/LVL:156.70)</t>
  </si>
  <si>
    <t>CONC.STAIR -2</t>
  </si>
  <si>
    <t>(P2/LVL:133.80 TO P1/LVL:143.60)</t>
  </si>
  <si>
    <t>(P2/LVL:143.60 TO P1/LVL:157.10)</t>
  </si>
  <si>
    <t xml:space="preserve">#4 CONT </t>
  </si>
  <si>
    <t>BAR INPUT - STAIRS</t>
  </si>
  <si>
    <t>SHEET NO:S-2 FOUNDATION PLAN</t>
  </si>
  <si>
    <t>10" THK CONC.WALLS</t>
  </si>
  <si>
    <t>(SEC:S-11/2,A-4.0,A-4.2) (1'-4" DP)</t>
  </si>
  <si>
    <t>#7 @7" VOF</t>
  </si>
  <si>
    <t>#7 @7" VIF</t>
  </si>
  <si>
    <t>#4 x5' @12" CENTERED ON WALL</t>
  </si>
  <si>
    <t xml:space="preserve">(SEC:S-11/3,4) </t>
  </si>
  <si>
    <t>#4 @12" VOF</t>
  </si>
  <si>
    <t>#4 @12" VIF</t>
  </si>
  <si>
    <t xml:space="preserve">(SEC:S-11/2,3,4) </t>
  </si>
  <si>
    <t>#4 @12" COR</t>
  </si>
  <si>
    <t>(SEC:S-1/3)</t>
  </si>
  <si>
    <t>#5 CONT</t>
  </si>
  <si>
    <t>2#5 EDG CONT</t>
  </si>
  <si>
    <t>10" THK BOUNDARY WALL (SEC 2/S-4A)</t>
  </si>
  <si>
    <t>#5 @12" VERT EF</t>
  </si>
  <si>
    <t>#4 @8" HORZ EF</t>
  </si>
  <si>
    <t xml:space="preserve"> @ WALL END</t>
  </si>
  <si>
    <t>2-#8 WALL END DWLS</t>
  </si>
  <si>
    <t>2-#8 WALL END VERT</t>
  </si>
  <si>
    <t>#3 @4" H-PIN</t>
  </si>
  <si>
    <t>2-#9 WALL END VERT</t>
  </si>
  <si>
    <t>4-#7 WALL END VERT</t>
  </si>
  <si>
    <t>4-#8 WALL END VERT</t>
  </si>
  <si>
    <t>4-#9 WALL END VERT</t>
  </si>
  <si>
    <t>CONC.WALLS DWLS</t>
  </si>
  <si>
    <t>#6 @12" DOF</t>
  </si>
  <si>
    <t>#7 @7" DIF</t>
  </si>
  <si>
    <t>#5 @12" DWLS EF</t>
  </si>
  <si>
    <t>#4 @16" DWLS</t>
  </si>
  <si>
    <t>2-#9 WALL END DWLS</t>
  </si>
  <si>
    <t>4-#7 WALL END DWLS</t>
  </si>
  <si>
    <t>4-#8 WALL END DWLS</t>
  </si>
  <si>
    <t>4-#9 WALL END DWLS</t>
  </si>
  <si>
    <t>#5 @12" SLAB DWLS</t>
  </si>
  <si>
    <t>8" THK ELEVATOR PIT WALL FTG</t>
  </si>
  <si>
    <t xml:space="preserve"> (SEC:S-11/15)</t>
  </si>
  <si>
    <t>#4 @12" CONT</t>
  </si>
  <si>
    <t>#4 @12" SW</t>
  </si>
  <si>
    <t>#4 @12" LW</t>
  </si>
  <si>
    <t>#6 @12" DWLS OF</t>
  </si>
  <si>
    <t>#7 @7" DWLS IF</t>
  </si>
  <si>
    <t>#4 @12" HEF</t>
  </si>
  <si>
    <t>BAR INPUT - CONCRETE WALLS</t>
  </si>
  <si>
    <t>(SEC:S-11/15)</t>
  </si>
  <si>
    <t>8" THK ELEVATOR PIT SLAB</t>
  </si>
  <si>
    <t>BAR INPUT - P1 LEVEL SLAB</t>
  </si>
  <si>
    <t>SHT.NO:S-3 P1 PARKING LEVEL SLAB</t>
  </si>
  <si>
    <t>12"THK CONC.DECK SLAB</t>
  </si>
  <si>
    <t>EDGE STRIP (E-W DIRECTION)</t>
  </si>
  <si>
    <t xml:space="preserve">#5 @12" BOT GRID:F TO E.1 </t>
  </si>
  <si>
    <t>#6 @10" BOT</t>
  </si>
  <si>
    <t>#5 @10" BOT</t>
  </si>
  <si>
    <t>#7 @12" BOT</t>
  </si>
  <si>
    <t>#5 @12" BOT</t>
  </si>
  <si>
    <t>#8 @12" BOT</t>
  </si>
  <si>
    <t>COLUMN STRIP</t>
  </si>
  <si>
    <t>#6 @12" BOT</t>
  </si>
  <si>
    <t>MIDDLE STRIP</t>
  </si>
  <si>
    <t>#8 @10" BOT</t>
  </si>
  <si>
    <t>#7 @10" BOT</t>
  </si>
  <si>
    <t>#9 @10" BOT</t>
  </si>
  <si>
    <t xml:space="preserve">#5 @12" TOP GRID:F TO E.1 </t>
  </si>
  <si>
    <t>#7 @12" TOP</t>
  </si>
  <si>
    <t>#6 @12" TOP</t>
  </si>
  <si>
    <t>#8 @10" TOP</t>
  </si>
  <si>
    <t>#5 @12" TOP</t>
  </si>
  <si>
    <t>#9 @6" TOP</t>
  </si>
  <si>
    <t>#8 @12" TOP</t>
  </si>
  <si>
    <t>#9 @12" TOP</t>
  </si>
  <si>
    <t>#9 @10" TOP</t>
  </si>
  <si>
    <t>#6 @10" TOP</t>
  </si>
  <si>
    <t>#5 @10" TOP</t>
  </si>
  <si>
    <t>12"THK CONC.DECK SLAB (N-S DIRECTION)</t>
  </si>
  <si>
    <t>EDGE STRIP (GRID 7.1+ -A-F)</t>
  </si>
  <si>
    <t>#9 @12" BOT</t>
  </si>
  <si>
    <t>MIDDLE STRIP (GRID 7.1 -A-F)</t>
  </si>
  <si>
    <t>COLUMN STRIP (GRID 7/A-F)</t>
  </si>
  <si>
    <t>MIDDLE STRIP (GRID 6+/A-F)</t>
  </si>
  <si>
    <t>COLUMN STRIP (GRID 6.2-6.3/A-F)</t>
  </si>
  <si>
    <t>#6 @12" BOT (CS1)</t>
  </si>
  <si>
    <t>#6 @12" BOT (CS2)</t>
  </si>
  <si>
    <t>MIDDLE STRIP (GRID 4.9+-6.2-/A-F) MS2</t>
  </si>
  <si>
    <t>COLUMN STRIP (GRID 4.9/A-F)</t>
  </si>
  <si>
    <t>MIDDLE STRIP (GRID 3.9+-4.8-/A-F) MS2</t>
  </si>
  <si>
    <t>COLUMN STRIP (GRID 3.9/A-F)</t>
  </si>
  <si>
    <t>MIDDLE STRIP (GRID 3+/A-F)</t>
  </si>
  <si>
    <t>COLUMN STRIP (GRID 3/A-F)</t>
  </si>
  <si>
    <t>MIDDLE STRIP (GRID 2.5+/A-F)</t>
  </si>
  <si>
    <t>4-#8 BOT</t>
  </si>
  <si>
    <t>COLUMN STRIP (GRID 2/A-F)</t>
  </si>
  <si>
    <t>MIDDLE STRIP (GRID 1.2+/A-F)</t>
  </si>
  <si>
    <t>EDGE STRIP (GRID 1/A-F)</t>
  </si>
  <si>
    <t xml:space="preserve">#5 @12" BOT </t>
  </si>
  <si>
    <t>MIDDLE STRIP (GRID 6.3+ -A-F) (MS1)</t>
  </si>
  <si>
    <t>COLUMN STRIP (GRID 6/A-F)</t>
  </si>
  <si>
    <t>#5 @12" TOP (CS1)</t>
  </si>
  <si>
    <t>#5 @12" TOP (CS2)</t>
  </si>
  <si>
    <t>MIDDLE STRIP (GRID 4.9+/A-F) (MS2)</t>
  </si>
  <si>
    <t>COLUMN STRIP (GRID 4.8/A-F) (CS2)</t>
  </si>
  <si>
    <t>MIDDLE STRIP (GRID 3.9+/A-F) (MS2)</t>
  </si>
  <si>
    <t>MIDDLE STRIP (GRID 3+ -A-F) (MS1)</t>
  </si>
  <si>
    <t>#7 @10" TOP</t>
  </si>
  <si>
    <t>MIDDLE STRIP (GRID 2.5 -A-F) (MS1)</t>
  </si>
  <si>
    <t>MIDDLE STRIP (GRID 1.2+ -A-F)</t>
  </si>
  <si>
    <t>COLUMN STRIP (GRID 1.2/A-F)</t>
  </si>
  <si>
    <t>WALL TO SLAB DWLS(SEC 19/S-13)</t>
  </si>
  <si>
    <t>#5 @16" CMU WALLS</t>
  </si>
  <si>
    <t>#4 @48 " STANDEES</t>
  </si>
  <si>
    <t>SLAB ADDITIONALS</t>
  </si>
  <si>
    <t>2-#6 @8'-0" BOT</t>
  </si>
  <si>
    <t>2-#5 ADDLS @OPENING</t>
  </si>
  <si>
    <t>DROP PANEL:(4'-0"SQ x 0'-8"DP)</t>
  </si>
  <si>
    <t>#4 @12" BOT E.W</t>
  </si>
  <si>
    <t>SEC:1/S-34A (2-LOCS)</t>
  </si>
  <si>
    <t>1-#4 CONT</t>
  </si>
  <si>
    <t>EDGE STRIP (TOP BARS)</t>
  </si>
  <si>
    <t>BAR INPUT - P1 LEVEL BEAMS</t>
  </si>
  <si>
    <t>CONCRETE BEAMS</t>
  </si>
  <si>
    <t>P1 LVL BEAMS</t>
  </si>
  <si>
    <t>B15 (12"x48" DP) (SEC 12/S-12)</t>
  </si>
  <si>
    <t>4-#9 BOT</t>
  </si>
  <si>
    <t>2-#8 TOP</t>
  </si>
  <si>
    <t>#3 @8" STIR.</t>
  </si>
  <si>
    <t>B16 (24"x24" DP) (SEC 16/S-12)</t>
  </si>
  <si>
    <t>5-#10 BOT</t>
  </si>
  <si>
    <t>3-#8 TOP</t>
  </si>
  <si>
    <t>B17 (24"x24" DP) (SEC 15/S-12)</t>
  </si>
  <si>
    <t>6-#10 BOT</t>
  </si>
  <si>
    <t>3-#9 TOP</t>
  </si>
  <si>
    <t>B18 (8"x42" DP) (SEC 13/S-12)</t>
  </si>
  <si>
    <t>2-#7 BOT</t>
  </si>
  <si>
    <t>2-#5 TOP</t>
  </si>
  <si>
    <t>2-#5 MID</t>
  </si>
  <si>
    <t>#5@12" SLAB DWLS</t>
  </si>
  <si>
    <t>B19 (24"x24" DP) (SEC 11/S-12)</t>
  </si>
  <si>
    <t>3-#7 TOP</t>
  </si>
  <si>
    <t>B20 (24"x24" DP) (SEC 10/S-12)</t>
  </si>
  <si>
    <t>CMU DWLS (SEC 12/S-12)</t>
  </si>
  <si>
    <t>#5 @16" CMU DWLS</t>
  </si>
  <si>
    <t>SHT.NO:S-3A CONC. DECK REINF. LAYOUT PLAN</t>
  </si>
  <si>
    <t>SHT. NO: S-4 CONCRETE DECK REINFORCING LAYOUT PLAN</t>
  </si>
  <si>
    <t>1ST FLR  BEAMS</t>
  </si>
  <si>
    <t>B14 (12"x42" DP) (SEC 13/S-12)</t>
  </si>
  <si>
    <t>#3 @6" STIR.</t>
  </si>
  <si>
    <t>B14A (12"x24" DP) (SEC 13/S-12)</t>
  </si>
  <si>
    <t>2-#7 TOP</t>
  </si>
  <si>
    <t xml:space="preserve">BAR INPUT - 2ND FLOOR BEAMS </t>
  </si>
  <si>
    <t>SHT. NO: S-5 CONCRETE DECK REINFORCING LAYOUT PLAN</t>
  </si>
  <si>
    <t>CONCRETE BEAMS (2ND FLR BEAMS)</t>
  </si>
  <si>
    <t>LVL-2  BEAMS</t>
  </si>
  <si>
    <t>B1 (10"x24" DP) (SEC 2/S-13)</t>
  </si>
  <si>
    <t>B2 (10"x24" DP) (SEC 2/S-13)</t>
  </si>
  <si>
    <t>4-#9 TOP</t>
  </si>
  <si>
    <t>B3 (10"x30" DP) (SEC 2/S-13)</t>
  </si>
  <si>
    <t>5-#10 TOP</t>
  </si>
  <si>
    <t>#3 @5" STIR.</t>
  </si>
  <si>
    <t>B4 (18"x30" DP) (SEC 14/S-13)</t>
  </si>
  <si>
    <t>6-#11 BOT</t>
  </si>
  <si>
    <t>6-#11 TOP</t>
  </si>
  <si>
    <t>#4 @6" STIR.</t>
  </si>
  <si>
    <t>B4A (36"x30" DP) (SEC 2/S-13)</t>
  </si>
  <si>
    <t>10-#11 BOT</t>
  </si>
  <si>
    <t>CMU DWLS (SEC 8/S-13) @2ND FLR BEAMS</t>
  </si>
  <si>
    <t>CMU DWLS (SEC 2/S-13)</t>
  </si>
  <si>
    <t xml:space="preserve">BAR INPUT - 2ND FLOOR SLAB </t>
  </si>
  <si>
    <t>SHT NO:S-5A 2ND FLR CONC DECK REINF LAYOUT PLAN</t>
  </si>
  <si>
    <t>13"THK CONC DECK (E-W)</t>
  </si>
  <si>
    <t>BOT BARS</t>
  </si>
  <si>
    <t>EDGE STRIP (GRID 1-F)</t>
  </si>
  <si>
    <t>#9 @12" BOT LW</t>
  </si>
  <si>
    <t>#8 @12" BOT LW</t>
  </si>
  <si>
    <t>#6 @10" BOT LW</t>
  </si>
  <si>
    <t>#7 @12" BOT LW</t>
  </si>
  <si>
    <t>MIDDLE STRIP (GRID E.3)</t>
  </si>
  <si>
    <t>#6 @12" BOT LW</t>
  </si>
  <si>
    <t xml:space="preserve">COLUMN STRIP </t>
  </si>
  <si>
    <t>#9 @10" BOT LW</t>
  </si>
  <si>
    <t>#8 @10" BOT LW</t>
  </si>
  <si>
    <t>#9 @9" BOT LW</t>
  </si>
  <si>
    <t>#6 @12" BOTLW</t>
  </si>
  <si>
    <t>3#6 BOT LW</t>
  </si>
  <si>
    <t>3#7 BOT LW</t>
  </si>
  <si>
    <t>#7 @10" BOT LW</t>
  </si>
  <si>
    <t>4-#9 BOT ADDLS</t>
  </si>
  <si>
    <t>3-#8 BOT ADDLS</t>
  </si>
  <si>
    <t>#5 @10" BOT LW</t>
  </si>
  <si>
    <t>EDGE STRIP (GRID 1-A)</t>
  </si>
  <si>
    <t>TOP BARS</t>
  </si>
  <si>
    <t>#5 @12" TOP  LW</t>
  </si>
  <si>
    <t>#7 @12" TOP  LW</t>
  </si>
  <si>
    <t>#7 @12" TOP LW</t>
  </si>
  <si>
    <t>#6 @12" TOP  LW</t>
  </si>
  <si>
    <t>#9 @6" TOP  LW</t>
  </si>
  <si>
    <t>#6 @10" TOP LW</t>
  </si>
  <si>
    <t>#8 @10" TOP  LW</t>
  </si>
  <si>
    <t>#5 @12" TOP LW</t>
  </si>
  <si>
    <t>#10 @6" TOP  LW</t>
  </si>
  <si>
    <t>#9 @9" TOP LW</t>
  </si>
  <si>
    <t>#9 @10" TOP  LW</t>
  </si>
  <si>
    <t>#9 @12" TOP  LW</t>
  </si>
  <si>
    <t>#8 @12" TOP  LW</t>
  </si>
  <si>
    <t>#10 @6" TOP LW</t>
  </si>
  <si>
    <t>#8 @10" TOP LW</t>
  </si>
  <si>
    <t>#9 @8" TOP LW</t>
  </si>
  <si>
    <t>#9 @12" TOP LW</t>
  </si>
  <si>
    <t>#8 @12" TOP LW</t>
  </si>
  <si>
    <t>#6 @12" TOP LW</t>
  </si>
  <si>
    <t>#7 @10" TOP LW</t>
  </si>
  <si>
    <t>#9 @7" TOP LW</t>
  </si>
  <si>
    <t>#6 @12 TOP LW</t>
  </si>
  <si>
    <t>#9 @6" TOP LW</t>
  </si>
  <si>
    <t>#9 @10" TOP LW</t>
  </si>
  <si>
    <t>13" THK CONC DECK SLAB(N-S )</t>
  </si>
  <si>
    <t>EDGE STRIP(GRID A-F/7)</t>
  </si>
  <si>
    <t>#7 @12" BOT SW</t>
  </si>
  <si>
    <t>#8 @12" BOT SW</t>
  </si>
  <si>
    <t>MID STRIP (GRID A-F/7)</t>
  </si>
  <si>
    <t>#9 @10" BOT SW</t>
  </si>
  <si>
    <t>#6 @12" BOT SW</t>
  </si>
  <si>
    <t>COLUMN STRIP(GRID A-F/7)</t>
  </si>
  <si>
    <t>#9 @8" BOT SW</t>
  </si>
  <si>
    <t>COLUMN STRIP (GRID A-E/7)</t>
  </si>
  <si>
    <t>MID STRIP(GRID A-E/6)</t>
  </si>
  <si>
    <t>#5 @10" BOT SW</t>
  </si>
  <si>
    <t>#6 @10" BOT SW</t>
  </si>
  <si>
    <t>COLUMN STRIP(GRID A-E/6)</t>
  </si>
  <si>
    <t>#8 @10" BOT SW</t>
  </si>
  <si>
    <t>MID STRIP(GRID A-E/5.6)</t>
  </si>
  <si>
    <t>COLUMN STRIP((GRID A-E/5)</t>
  </si>
  <si>
    <t>MID STRIP(GRID A-E/4.4)</t>
  </si>
  <si>
    <t>COLUMN STRIP(GRID A-E/4)</t>
  </si>
  <si>
    <t>MID STRIP(GRID A-E/4)</t>
  </si>
  <si>
    <t>#7 @10" BOT SW</t>
  </si>
  <si>
    <t>COLUMN STRIP(GRID A-E/3)</t>
  </si>
  <si>
    <t>#9 @12" BOT SW</t>
  </si>
  <si>
    <t>MID STRIP(GRID A-E/2.5)</t>
  </si>
  <si>
    <t>COLUMN STRIP(GRID A-E/2)</t>
  </si>
  <si>
    <t>MID STRIP(GRID A-E/2)</t>
  </si>
  <si>
    <t>EDGE STRIP(GRID A-E/1-1.2)</t>
  </si>
  <si>
    <t>TOP SW</t>
  </si>
  <si>
    <t>#6 @12" TOP SW</t>
  </si>
  <si>
    <t>#9 @8" TOP SW</t>
  </si>
  <si>
    <t>#8 @12" TOP SW</t>
  </si>
  <si>
    <t>#7 @12" TOP SW</t>
  </si>
  <si>
    <t>#7 @10" TOP SW</t>
  </si>
  <si>
    <t>#5 @12" TOP SW</t>
  </si>
  <si>
    <t>#9 @9" TOP SW</t>
  </si>
  <si>
    <t>#9 @12" TOP SW</t>
  </si>
  <si>
    <t>#6 @10" TOP SW</t>
  </si>
  <si>
    <t>#9 @6" TOP SW</t>
  </si>
  <si>
    <t>#9 @10" TOP SW</t>
  </si>
  <si>
    <t>COLOUMN STRIP (GRID A-E/2)</t>
  </si>
  <si>
    <t>BOT ADDLS</t>
  </si>
  <si>
    <t>3-#7 BOT ADDL @OPNG (6 LOCS)</t>
  </si>
  <si>
    <t>3-#8 BOT ADDL @OPNG</t>
  </si>
  <si>
    <t>2-#7 BOT  ADDL @OPNG</t>
  </si>
  <si>
    <t xml:space="preserve">4-#9 BOT ADDL </t>
  </si>
  <si>
    <t>#4 @48" STANDEES EW</t>
  </si>
  <si>
    <t>#4 @12" BOT E.W (21 LOCS)</t>
  </si>
  <si>
    <t>SHT NO:S-4 1ST FLR LVL CONC DECK REINF LAYOUT PLAN</t>
  </si>
  <si>
    <t>13"&amp;16" THK CONC DECK-(E-W DIR) (BOT LW)</t>
  </si>
  <si>
    <t>EDGE STRIP. BOT LW (GRID 7.1-F)</t>
  </si>
  <si>
    <t>MID STRIP</t>
  </si>
  <si>
    <t>COLUMN STRIP(GRID E/8-2.8)</t>
  </si>
  <si>
    <t>3-#7 BOT ADDLS</t>
  </si>
  <si>
    <t>2-#6 BOT ADDLS ES</t>
  </si>
  <si>
    <t xml:space="preserve">COLUMN STRIP (GRID B/1-7.1) </t>
  </si>
  <si>
    <t>#8 @12" BOT LW ADDLS</t>
  </si>
  <si>
    <t>EDGE STRIP(GRID A/1-7.1)</t>
  </si>
  <si>
    <t>13"&amp;16" THK CONC DECK-(E-W DIR) (TOP LW)</t>
  </si>
  <si>
    <t>EDGE STRIP (GRID F/1-8)</t>
  </si>
  <si>
    <t>#5 @10" TOP LW</t>
  </si>
  <si>
    <t>EDGE STRIP (GRID A/1-8)</t>
  </si>
  <si>
    <t xml:space="preserve">13" THK CONC DECK-(N-S DIR) (BOT SW) </t>
  </si>
  <si>
    <t>COLUMN STRIP(GRID A-F/6)</t>
  </si>
  <si>
    <t>COLUMN STRIP(GRID A-F/5)</t>
  </si>
  <si>
    <t>COLUMN STRIP(GRID A-F/4)</t>
  </si>
  <si>
    <t>COLUMN STRIP(GRID A-F/3)</t>
  </si>
  <si>
    <t>4 #8 BOT SW</t>
  </si>
  <si>
    <t>COLUMN STRIP(GRID A-F/2)</t>
  </si>
  <si>
    <t xml:space="preserve">16" THK CONC DECK-(N-S DIR) (BOT SW) </t>
  </si>
  <si>
    <t>EDGE STRIP(GRID A-F/7.1)</t>
  </si>
  <si>
    <t>13" THK CONC DECK-(N-S DIR) (TOP SW)</t>
  </si>
  <si>
    <t>#8 @10" TOP SW</t>
  </si>
  <si>
    <t>16" THK CONC DECK-(N-S DIR) (TOP SW)</t>
  </si>
  <si>
    <t>1'-6" THK CONC SLAB (SEC 1/S-4)</t>
  </si>
  <si>
    <t>#4 @12" BOT  LW</t>
  </si>
  <si>
    <t>#4 @12" BOT SW</t>
  </si>
  <si>
    <t>#4 @12" TOP LW</t>
  </si>
  <si>
    <t>#4 @12" TOP SW</t>
  </si>
  <si>
    <t>6" THK CONC.CURB (SEC 20/S-12)</t>
  </si>
  <si>
    <t>6" THK CONC.CURB (SEC 18/S-13)</t>
  </si>
  <si>
    <t>8" THK CMU WALL DWLS</t>
  </si>
  <si>
    <t xml:space="preserve"> (SEC 1/S-4)</t>
  </si>
  <si>
    <t>#4 @16" D/V</t>
  </si>
  <si>
    <t>(SEC 20/S-13)</t>
  </si>
  <si>
    <t>(SEC 2/S-4)</t>
  </si>
  <si>
    <t>(SEC 19/S-13)</t>
  </si>
  <si>
    <t>#5 @16" DWLS</t>
  </si>
  <si>
    <t>DROP PANNAL (SEC 3/S-12)</t>
  </si>
  <si>
    <t>SIZE (4'-0"x4'-0"x0'-8" DP)</t>
  </si>
  <si>
    <t>#4 @12" BOT EW</t>
  </si>
  <si>
    <t>10"THK CONC.STAIR (SEC 4/S-4)</t>
  </si>
  <si>
    <t>1ST LVL - 2ND LVL</t>
  </si>
  <si>
    <t>#5 @12" DWLS</t>
  </si>
  <si>
    <t>10"THK CONC.STAIR (GRID 1/C-D)</t>
  </si>
  <si>
    <t>BAR INPUT - 1st FLR SLAB</t>
  </si>
  <si>
    <t xml:space="preserve">BAR INPUT - 1st FLOOR BEAMS </t>
  </si>
  <si>
    <t>2. We estimated #5 @12" VEF &amp; #4 @18" HEF for Boundary walls.</t>
  </si>
  <si>
    <t xml:space="preserve">#5 SUPPORT BARS </t>
  </si>
  <si>
    <t xml:space="preserve">#4 SUPPORT BARS </t>
  </si>
  <si>
    <t>2.ESTIMATED WEIGHT LISTED BY ELEMENTS</t>
  </si>
  <si>
    <t>2A. P2-PAD FOOTINGS</t>
  </si>
  <si>
    <t>Grand Total</t>
  </si>
  <si>
    <t>Sum of Weight(LBS)</t>
  </si>
  <si>
    <t>2B. P2-WALL FOOTINGS</t>
  </si>
  <si>
    <t>2C. P2-SLAB ON GRADE</t>
  </si>
  <si>
    <t>2D. COLUMNS</t>
  </si>
  <si>
    <t>2E. CONCRETE WALLS</t>
  </si>
  <si>
    <t>2F. P1 LEVEL BEAMS</t>
  </si>
  <si>
    <t>2G. P1 LEVEL SLAB</t>
  </si>
  <si>
    <t>2H. 1ST FLOOR BEAMS</t>
  </si>
  <si>
    <t>2I. 1ST FLOOR SLAB</t>
  </si>
  <si>
    <t>2J. 2ND FLOOR BEAMS</t>
  </si>
  <si>
    <t>2K. 2ND FLOOR SLAB</t>
  </si>
  <si>
    <t>2L. STAIRS</t>
  </si>
  <si>
    <t>1. ESTIMATED WEIGHT BY ELEMENTS BASE BID</t>
  </si>
  <si>
    <t>Weight in Lbs</t>
  </si>
  <si>
    <t>Elements</t>
  </si>
  <si>
    <t>P2-PAD FOOTINGS</t>
  </si>
  <si>
    <t>P2-WALL FOOTINGS</t>
  </si>
  <si>
    <t>P2-SLAB ON GRADE</t>
  </si>
  <si>
    <t>COLUMNS</t>
  </si>
  <si>
    <t>CONCRETE WALLS</t>
  </si>
  <si>
    <t>P1 LEVEL BEAMS</t>
  </si>
  <si>
    <t>P1 LEVEL SLAB</t>
  </si>
  <si>
    <t>1ST FLOOR BEAMS</t>
  </si>
  <si>
    <t>1ST FLOOR SLAB</t>
  </si>
  <si>
    <t>2ND FLOOR BEAMS</t>
  </si>
  <si>
    <t>2ND FLOOR SLAB</t>
  </si>
  <si>
    <t>STAIRS</t>
  </si>
  <si>
    <t>Total Weight in lbs</t>
  </si>
  <si>
    <t>Total Rebar Weight in this Project</t>
  </si>
  <si>
    <t>Tons</t>
  </si>
  <si>
    <t>3. ESTIMATED WEIGHT LISTED BY BLACK REBAR BASE BID</t>
  </si>
  <si>
    <t>Barsize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</si>
  <si>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</si>
  <si>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</si>
  <si>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</si>
  <si>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</si>
  <si>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</si>
  <si>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</si>
  <si>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</si>
  <si>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</si>
  <si>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</si>
  <si>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</si>
  <si>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#14</t>
  </si>
  <si>
    <t>Total Weight (Lbs)</t>
  </si>
  <si>
    <t>Rebar Estimation Takeoff Sheet</t>
  </si>
  <si>
    <t>HAMPSTEAD HEATH</t>
  </si>
  <si>
    <t xml:space="preserve">Project No : </t>
  </si>
  <si>
    <t>Bid Date :</t>
  </si>
  <si>
    <t>4.ESTIMATED WEIGHT LISTED BY BLACK REBAR BEND TYPE BASE BID</t>
  </si>
  <si>
    <t>Grand Total (Lbs)</t>
  </si>
  <si>
    <t>4A.Estimated Accessories Details - Base Bid</t>
  </si>
  <si>
    <t xml:space="preserve">Description </t>
  </si>
  <si>
    <t>Detail</t>
  </si>
  <si>
    <t>Quantity</t>
  </si>
  <si>
    <t>Unit</t>
  </si>
  <si>
    <t>Remarks</t>
  </si>
  <si>
    <t>Structures</t>
  </si>
  <si>
    <t>Sand plates</t>
  </si>
  <si>
    <t>3" High @ 48"</t>
  </si>
  <si>
    <t>Nos</t>
  </si>
  <si>
    <t>5" Thk Sog  (Area : 17678 Sq.ft)</t>
  </si>
  <si>
    <t>P2-Level slab</t>
  </si>
  <si>
    <t>Beams Bolsters</t>
  </si>
  <si>
    <t>1.5" High @ 48"</t>
  </si>
  <si>
    <t>Lft</t>
  </si>
  <si>
    <t>Beams</t>
  </si>
  <si>
    <t>P1 Level beams</t>
  </si>
  <si>
    <t xml:space="preserve">Slab Bolster </t>
  </si>
  <si>
    <t xml:space="preserve">1" HIGH @ 48" </t>
  </si>
  <si>
    <t>12" Thk slab                      (Area : 17820 Sq.ft)</t>
  </si>
  <si>
    <t>P1 Level slab</t>
  </si>
  <si>
    <t>1st Floor beams</t>
  </si>
  <si>
    <t xml:space="preserve">1" HIGH @48" </t>
  </si>
  <si>
    <t>13"&amp;16" Thk slab            (Area : 16620 Sqft)1st flr</t>
  </si>
  <si>
    <t>1st Floor slab</t>
  </si>
  <si>
    <t>2nd Floor beams</t>
  </si>
  <si>
    <t>1" HIGH @ 48"</t>
  </si>
  <si>
    <t>13" Thk Slab              (Area:16940 Sq.ft)</t>
  </si>
  <si>
    <t>2nd Floor  Slab</t>
  </si>
  <si>
    <t xml:space="preserve">  So,We Assumed as #5 @12" Verts &amp; #4 @12" Horz. </t>
  </si>
  <si>
    <t>818-784-5662.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</si>
</sst>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[$-409]d\-mmm\-yy;@"/>
    <numFmt numFmtId="166" formatCode="[$-F800]dddd\,\ mmmm\ dd\,\ yyyy"/>
    <numFmt numFmtId="167" formatCode="0.000"/>
    <numFmt numFmtId="168" formatCode="[$-409]dd\-mmm\-yy;@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u/>
      <sz val="11.5"/>
      <color theme="1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FF66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43"/>
    <xf numFmtId="0" fontId="1" fillId="0" borderId="0" xfId="43" applyFont="1"/>
    <xf numFmtId="0" fontId="1" fillId="0" borderId="0" xfId="43" applyFont="1" applyBorder="1"/>
    <xf numFmtId="0" fontId="4" fillId="0" borderId="0" xfId="0" applyFont="1"/>
    <xf numFmtId="0" fontId="23" fillId="0" borderId="0" xfId="0" applyFont="1"/>
    <xf numFmtId="165" fontId="1" fillId="0" borderId="0" xfId="0" applyNumberFormat="1" applyFont="1"/>
    <xf numFmtId="164" fontId="0" fillId="0" borderId="0" xfId="0" quotePrefix="1" applyNumberFormat="1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0" fillId="0" borderId="0" xfId="0" quotePrefix="1"/>
    <xf numFmtId="0" fontId="1" fillId="0" borderId="0" xfId="0" applyFont="1" applyBorder="1"/>
    <xf numFmtId="0" fontId="1" fillId="0" borderId="0" xfId="45" applyFont="1"/>
    <xf numFmtId="0" fontId="1" fillId="0" borderId="0" xfId="45" applyFont="1" applyFill="1" applyBorder="1"/>
    <xf numFmtId="0" fontId="2" fillId="0" borderId="0" xfId="0" applyFont="1"/>
    <xf numFmtId="0" fontId="1" fillId="0" borderId="0" xfId="0" applyFont="1" applyAlignment="1"/>
    <xf numFmtId="0" fontId="1" fillId="0" borderId="0" xfId="0" applyFont="1" applyFill="1" applyBorder="1"/>
    <xf numFmtId="0" fontId="26" fillId="26" borderId="16" xfId="45" applyFont="1" applyFill="1" applyBorder="1" applyAlignment="1"/>
    <xf numFmtId="0" fontId="27" fillId="27" borderId="17" xfId="0" applyFont="1" applyFill="1" applyBorder="1"/>
    <xf numFmtId="0" fontId="27" fillId="0" borderId="18" xfId="45" applyFont="1" applyFill="1" applyBorder="1" applyAlignment="1">
      <alignment horizontal="left"/>
    </xf>
    <xf numFmtId="0" fontId="27" fillId="0" borderId="18" xfId="45" applyFont="1" applyFill="1" applyBorder="1"/>
    <xf numFmtId="2" fontId="27" fillId="0" borderId="17" xfId="45" applyNumberFormat="1" applyFont="1" applyFill="1" applyBorder="1"/>
    <xf numFmtId="0" fontId="1" fillId="0" borderId="17" xfId="45" applyBorder="1"/>
    <xf numFmtId="2" fontId="1" fillId="0" borderId="17" xfId="0" applyNumberFormat="1" applyFont="1" applyFill="1" applyBorder="1"/>
    <xf numFmtId="0" fontId="2" fillId="27" borderId="18" xfId="45" applyFont="1" applyFill="1" applyBorder="1" applyAlignment="1">
      <alignment horizontal="left"/>
    </xf>
    <xf numFmtId="0" fontId="1" fillId="27" borderId="18" xfId="45" applyFont="1" applyFill="1" applyBorder="1" applyAlignment="1">
      <alignment horizontal="right"/>
    </xf>
    <xf numFmtId="2" fontId="1" fillId="27" borderId="18" xfId="45" applyNumberFormat="1" applyFont="1" applyFill="1" applyBorder="1" applyAlignment="1">
      <alignment horizontal="right"/>
    </xf>
    <xf numFmtId="0" fontId="1" fillId="27" borderId="18" xfId="45" applyFont="1" applyFill="1" applyBorder="1" applyAlignment="1">
      <alignment horizontal="left"/>
    </xf>
    <xf numFmtId="0" fontId="2" fillId="27" borderId="18" xfId="64" applyFont="1" applyFill="1" applyBorder="1" applyAlignment="1" applyProtection="1">
      <alignment horizontal="left"/>
    </xf>
    <xf numFmtId="0" fontId="1" fillId="27" borderId="18" xfId="64" applyFont="1" applyFill="1" applyBorder="1" applyAlignment="1" applyProtection="1">
      <alignment horizontal="left"/>
    </xf>
    <xf numFmtId="0" fontId="2" fillId="0" borderId="0" xfId="45" applyFont="1" applyAlignment="1">
      <alignment horizontal="left"/>
    </xf>
    <xf numFmtId="0" fontId="1" fillId="27" borderId="17" xfId="0" applyFont="1" applyFill="1" applyBorder="1"/>
    <xf numFmtId="0" fontId="1" fillId="27" borderId="17" xfId="0" applyFont="1" applyFill="1" applyBorder="1" applyAlignment="1">
      <alignment horizontal="right"/>
    </xf>
    <xf numFmtId="2" fontId="1" fillId="27" borderId="17" xfId="0" applyNumberFormat="1" applyFont="1" applyFill="1" applyBorder="1"/>
    <xf numFmtId="0" fontId="2" fillId="27" borderId="18" xfId="43" applyFont="1" applyFill="1" applyBorder="1" applyAlignment="1">
      <alignment horizontal="left"/>
    </xf>
    <xf numFmtId="0" fontId="1" fillId="0" borderId="17" xfId="0" applyFont="1" applyFill="1" applyBorder="1"/>
    <xf numFmtId="0" fontId="1" fillId="0" borderId="18" xfId="0" applyFont="1" applyFill="1" applyBorder="1"/>
    <xf numFmtId="0" fontId="1" fillId="27" borderId="18" xfId="43" applyFont="1" applyFill="1" applyBorder="1" applyAlignment="1">
      <alignment horizontal="left"/>
    </xf>
    <xf numFmtId="0" fontId="26" fillId="26" borderId="18" xfId="45" applyFont="1" applyFill="1" applyBorder="1" applyAlignment="1">
      <alignment horizontal="left"/>
    </xf>
    <xf numFmtId="0" fontId="2" fillId="26" borderId="18" xfId="45" applyFont="1" applyFill="1" applyBorder="1" applyAlignment="1">
      <alignment horizontal="left"/>
    </xf>
    <xf numFmtId="0" fontId="1" fillId="0" borderId="0" xfId="45"/>
    <xf numFmtId="0" fontId="1" fillId="0" borderId="0" xfId="45" applyFill="1"/>
    <xf numFmtId="0" fontId="2" fillId="0" borderId="0" xfId="45" applyFont="1"/>
    <xf numFmtId="0" fontId="2" fillId="24" borderId="17" xfId="45" applyFont="1" applyFill="1" applyBorder="1"/>
    <xf numFmtId="0" fontId="2" fillId="24" borderId="17" xfId="45" applyFont="1" applyFill="1" applyBorder="1" applyAlignment="1">
      <alignment horizontal="center"/>
    </xf>
    <xf numFmtId="0" fontId="2" fillId="24" borderId="14" xfId="45" applyFont="1" applyFill="1" applyBorder="1"/>
    <xf numFmtId="2" fontId="1" fillId="0" borderId="0" xfId="45" applyNumberFormat="1"/>
    <xf numFmtId="0" fontId="1" fillId="25" borderId="0" xfId="45" applyFill="1"/>
    <xf numFmtId="0" fontId="1" fillId="0" borderId="18" xfId="45" applyFont="1" applyFill="1" applyBorder="1"/>
    <xf numFmtId="0" fontId="1" fillId="0" borderId="18" xfId="45" applyFont="1" applyFill="1" applyBorder="1" applyAlignment="1">
      <alignment horizontal="right"/>
    </xf>
    <xf numFmtId="2" fontId="1" fillId="0" borderId="18" xfId="45" applyNumberFormat="1" applyFont="1" applyFill="1" applyBorder="1"/>
    <xf numFmtId="2" fontId="1" fillId="0" borderId="17" xfId="45" applyNumberFormat="1" applyFill="1" applyBorder="1"/>
    <xf numFmtId="0" fontId="1" fillId="0" borderId="19" xfId="45" applyFill="1" applyBorder="1"/>
    <xf numFmtId="0" fontId="27" fillId="27" borderId="18" xfId="45" applyFont="1" applyFill="1" applyBorder="1" applyAlignment="1">
      <alignment horizontal="right"/>
    </xf>
    <xf numFmtId="2" fontId="27" fillId="27" borderId="18" xfId="45" applyNumberFormat="1" applyFont="1" applyFill="1" applyBorder="1" applyAlignment="1">
      <alignment horizontal="right"/>
    </xf>
    <xf numFmtId="0" fontId="1" fillId="0" borderId="20" xfId="45" applyFill="1" applyBorder="1"/>
    <xf numFmtId="0" fontId="1" fillId="25" borderId="21" xfId="45" applyFill="1" applyBorder="1"/>
    <xf numFmtId="0" fontId="1" fillId="25" borderId="22" xfId="45" applyFill="1" applyBorder="1"/>
    <xf numFmtId="0" fontId="2" fillId="0" borderId="0" xfId="43" applyFont="1" applyAlignment="1">
      <alignment horizontal="left"/>
    </xf>
    <xf numFmtId="0" fontId="1" fillId="0" borderId="23" xfId="45" applyBorder="1" applyAlignment="1">
      <alignment horizontal="right"/>
    </xf>
    <xf numFmtId="0" fontId="1" fillId="0" borderId="24" xfId="45" applyBorder="1"/>
    <xf numFmtId="2" fontId="1" fillId="0" borderId="0" xfId="43" applyNumberFormat="1"/>
    <xf numFmtId="0" fontId="1" fillId="27" borderId="17" xfId="45" applyFont="1" applyFill="1" applyBorder="1"/>
    <xf numFmtId="0" fontId="1" fillId="27" borderId="17" xfId="45" applyFont="1" applyFill="1" applyBorder="1" applyAlignment="1">
      <alignment horizontal="right"/>
    </xf>
    <xf numFmtId="2" fontId="1" fillId="27" borderId="17" xfId="45" applyNumberFormat="1" applyFont="1" applyFill="1" applyBorder="1"/>
    <xf numFmtId="167" fontId="2" fillId="0" borderId="0" xfId="43" applyNumberFormat="1" applyFont="1" applyAlignment="1">
      <alignment horizontal="left"/>
    </xf>
    <xf numFmtId="0" fontId="27" fillId="0" borderId="18" xfId="64" applyFont="1" applyFill="1" applyBorder="1" applyAlignment="1" applyProtection="1">
      <alignment horizontal="left"/>
    </xf>
    <xf numFmtId="0" fontId="1" fillId="0" borderId="24" xfId="45" applyFont="1" applyBorder="1"/>
    <xf numFmtId="16" fontId="1" fillId="0" borderId="0" xfId="43" applyNumberFormat="1"/>
    <xf numFmtId="0" fontId="1" fillId="27" borderId="18" xfId="45" applyFont="1" applyFill="1" applyBorder="1"/>
    <xf numFmtId="2" fontId="1" fillId="27" borderId="18" xfId="45" applyNumberFormat="1" applyFont="1" applyFill="1" applyBorder="1"/>
    <xf numFmtId="0" fontId="27" fillId="27" borderId="17" xfId="45" applyFont="1" applyFill="1" applyBorder="1"/>
    <xf numFmtId="0" fontId="27" fillId="27" borderId="17" xfId="45" applyFont="1" applyFill="1" applyBorder="1" applyAlignment="1">
      <alignment horizontal="right"/>
    </xf>
    <xf numFmtId="2" fontId="27" fillId="27" borderId="17" xfId="45" applyNumberFormat="1" applyFont="1" applyFill="1" applyBorder="1"/>
    <xf numFmtId="0" fontId="1" fillId="0" borderId="25" xfId="45" applyBorder="1" applyAlignment="1">
      <alignment horizontal="right"/>
    </xf>
    <xf numFmtId="0" fontId="1" fillId="0" borderId="26" xfId="45" applyFont="1" applyBorder="1"/>
    <xf numFmtId="0" fontId="31" fillId="27" borderId="17" xfId="45" applyFont="1" applyFill="1" applyBorder="1"/>
    <xf numFmtId="0" fontId="1" fillId="0" borderId="17" xfId="45" applyFont="1" applyFill="1" applyBorder="1"/>
    <xf numFmtId="0" fontId="27" fillId="0" borderId="18" xfId="45" applyFont="1" applyFill="1" applyBorder="1" applyAlignment="1">
      <alignment horizontal="right"/>
    </xf>
    <xf numFmtId="0" fontId="1" fillId="0" borderId="17" xfId="45" applyFont="1" applyFill="1" applyBorder="1" applyAlignment="1">
      <alignment horizontal="right"/>
    </xf>
    <xf numFmtId="2" fontId="1" fillId="0" borderId="17" xfId="45" applyNumberFormat="1" applyFont="1" applyFill="1" applyBorder="1"/>
    <xf numFmtId="0" fontId="27" fillId="27" borderId="18" xfId="45" applyFont="1" applyFill="1" applyBorder="1" applyAlignment="1">
      <alignment horizontal="left"/>
    </xf>
    <xf numFmtId="0" fontId="1" fillId="0" borderId="18" xfId="45" applyFont="1" applyFill="1" applyBorder="1" applyAlignment="1">
      <alignment horizontal="left"/>
    </xf>
    <xf numFmtId="0" fontId="2" fillId="0" borderId="18" xfId="43" applyFont="1" applyFill="1" applyBorder="1" applyAlignment="1">
      <alignment horizontal="left"/>
    </xf>
    <xf numFmtId="0" fontId="29" fillId="0" borderId="0" xfId="45" applyFont="1" applyAlignment="1">
      <alignment horizontal="right"/>
    </xf>
    <xf numFmtId="2" fontId="2" fillId="0" borderId="29" xfId="43" applyNumberFormat="1" applyFont="1" applyFill="1" applyBorder="1"/>
    <xf numFmtId="2" fontId="1" fillId="0" borderId="0" xfId="45" applyNumberFormat="1" applyFill="1"/>
    <xf numFmtId="0" fontId="27" fillId="26" borderId="18" xfId="45" applyFont="1" applyFill="1" applyBorder="1" applyAlignment="1">
      <alignment horizontal="left"/>
    </xf>
    <xf numFmtId="0" fontId="27" fillId="27" borderId="18" xfId="45" applyFont="1" applyFill="1" applyBorder="1" applyAlignment="1">
      <alignment horizontal="center"/>
    </xf>
    <xf numFmtId="2" fontId="32" fillId="0" borderId="17" xfId="45" applyNumberFormat="1" applyFont="1" applyFill="1" applyBorder="1"/>
    <xf numFmtId="0" fontId="30" fillId="0" borderId="18" xfId="45" applyFont="1" applyFill="1" applyBorder="1" applyAlignment="1">
      <alignment horizontal="left"/>
    </xf>
    <xf numFmtId="2" fontId="27" fillId="0" borderId="18" xfId="45" applyNumberFormat="1" applyFont="1" applyFill="1" applyBorder="1" applyAlignment="1">
      <alignment horizontal="right"/>
    </xf>
    <xf numFmtId="2" fontId="27" fillId="27" borderId="17" xfId="45" applyNumberFormat="1" applyFont="1" applyFill="1" applyBorder="1" applyAlignment="1">
      <alignment horizontal="right"/>
    </xf>
    <xf numFmtId="0" fontId="1" fillId="0" borderId="18" xfId="43" applyFont="1" applyFill="1" applyBorder="1" applyAlignment="1">
      <alignment horizontal="left"/>
    </xf>
    <xf numFmtId="0" fontId="2" fillId="0" borderId="18" xfId="45" applyFont="1" applyFill="1" applyBorder="1" applyAlignment="1">
      <alignment horizontal="left"/>
    </xf>
    <xf numFmtId="0" fontId="1" fillId="27" borderId="18" xfId="0" applyFont="1" applyFill="1" applyBorder="1" applyAlignment="1">
      <alignment horizontal="left"/>
    </xf>
    <xf numFmtId="0" fontId="1" fillId="26" borderId="17" xfId="45" applyFont="1" applyFill="1" applyBorder="1"/>
    <xf numFmtId="0" fontId="2" fillId="26" borderId="18" xfId="43" applyFont="1" applyFill="1" applyBorder="1" applyAlignment="1">
      <alignment horizontal="left"/>
    </xf>
    <xf numFmtId="0" fontId="25" fillId="0" borderId="0" xfId="45" applyFont="1"/>
    <xf numFmtId="0" fontId="2" fillId="24" borderId="12" xfId="45" applyFont="1" applyFill="1" applyBorder="1"/>
    <xf numFmtId="0" fontId="2" fillId="24" borderId="13" xfId="45" applyFont="1" applyFill="1" applyBorder="1" applyAlignment="1">
      <alignment horizontal="center"/>
    </xf>
    <xf numFmtId="0" fontId="2" fillId="24" borderId="13" xfId="45" applyFont="1" applyFill="1" applyBorder="1"/>
    <xf numFmtId="2" fontId="2" fillId="0" borderId="0" xfId="45" applyNumberFormat="1" applyFont="1"/>
    <xf numFmtId="0" fontId="1" fillId="0" borderId="15" xfId="45" applyBorder="1"/>
    <xf numFmtId="0" fontId="26" fillId="26" borderId="17" xfId="45" applyFont="1" applyFill="1" applyBorder="1"/>
    <xf numFmtId="0" fontId="23" fillId="0" borderId="20" xfId="45" applyFont="1" applyFill="1" applyBorder="1"/>
    <xf numFmtId="0" fontId="1" fillId="0" borderId="0" xfId="45" applyFont="1" applyFill="1"/>
    <xf numFmtId="0" fontId="1" fillId="0" borderId="0" xfId="45" applyBorder="1"/>
    <xf numFmtId="0" fontId="2" fillId="0" borderId="0" xfId="45" applyFont="1" applyBorder="1"/>
    <xf numFmtId="0" fontId="29" fillId="0" borderId="0" xfId="45" applyFont="1" applyBorder="1" applyAlignment="1">
      <alignment horizontal="right"/>
    </xf>
    <xf numFmtId="0" fontId="2" fillId="0" borderId="0" xfId="45" applyFont="1" applyFill="1"/>
    <xf numFmtId="2" fontId="2" fillId="0" borderId="0" xfId="45" applyNumberFormat="1" applyFont="1" applyFill="1"/>
    <xf numFmtId="0" fontId="1" fillId="0" borderId="0" xfId="45" applyNumberFormat="1" applyBorder="1"/>
    <xf numFmtId="0" fontId="23" fillId="0" borderId="17" xfId="45" applyFont="1" applyFill="1" applyBorder="1"/>
    <xf numFmtId="2" fontId="2" fillId="0" borderId="17" xfId="45" applyNumberFormat="1" applyFont="1" applyFill="1" applyBorder="1"/>
    <xf numFmtId="0" fontId="32" fillId="0" borderId="18" xfId="43" applyFont="1" applyFill="1" applyBorder="1" applyAlignment="1">
      <alignment horizontal="left"/>
    </xf>
    <xf numFmtId="0" fontId="32" fillId="0" borderId="17" xfId="45" applyFont="1" applyFill="1" applyBorder="1"/>
    <xf numFmtId="0" fontId="32" fillId="0" borderId="17" xfId="45" applyFont="1" applyFill="1" applyBorder="1" applyAlignment="1">
      <alignment horizontal="right"/>
    </xf>
    <xf numFmtId="0" fontId="1" fillId="0" borderId="18" xfId="45" applyFont="1" applyFill="1" applyBorder="1" applyAlignment="1">
      <alignment horizontal="center"/>
    </xf>
    <xf numFmtId="0" fontId="26" fillId="26" borderId="17" xfId="45" applyFont="1" applyFill="1" applyBorder="1" applyAlignment="1">
      <alignment horizontal="left"/>
    </xf>
    <xf numFmtId="0" fontId="33" fillId="26" borderId="17" xfId="43" applyFont="1" applyFill="1" applyBorder="1" applyAlignment="1">
      <alignment horizontal="left"/>
    </xf>
    <xf numFmtId="0" fontId="32" fillId="27" borderId="17" xfId="45" applyFont="1" applyFill="1" applyBorder="1"/>
    <xf numFmtId="0" fontId="32" fillId="27" borderId="17" xfId="45" applyFont="1" applyFill="1" applyBorder="1" applyAlignment="1">
      <alignment horizontal="right"/>
    </xf>
    <xf numFmtId="0" fontId="1" fillId="27" borderId="17" xfId="45" applyFont="1" applyFill="1" applyBorder="1" applyAlignment="1">
      <alignment horizontal="center"/>
    </xf>
    <xf numFmtId="2" fontId="32" fillId="27" borderId="17" xfId="45" applyNumberFormat="1" applyFont="1" applyFill="1" applyBorder="1"/>
    <xf numFmtId="0" fontId="32" fillId="27" borderId="17" xfId="43" applyFont="1" applyFill="1" applyBorder="1" applyAlignment="1">
      <alignment horizontal="left"/>
    </xf>
    <xf numFmtId="0" fontId="33" fillId="27" borderId="17" xfId="43" applyFont="1" applyFill="1" applyBorder="1" applyAlignment="1">
      <alignment horizontal="left"/>
    </xf>
    <xf numFmtId="0" fontId="34" fillId="26" borderId="17" xfId="43" applyFont="1" applyFill="1" applyBorder="1" applyAlignment="1">
      <alignment horizontal="left"/>
    </xf>
    <xf numFmtId="0" fontId="2" fillId="27" borderId="17" xfId="43" applyFont="1" applyFill="1" applyBorder="1" applyAlignment="1">
      <alignment horizontal="left"/>
    </xf>
    <xf numFmtId="0" fontId="1" fillId="27" borderId="17" xfId="43" applyFont="1" applyFill="1" applyBorder="1" applyAlignment="1">
      <alignment horizontal="left"/>
    </xf>
    <xf numFmtId="0" fontId="1" fillId="27" borderId="17" xfId="45" applyFont="1" applyFill="1" applyBorder="1" applyAlignment="1">
      <alignment horizontal="left"/>
    </xf>
    <xf numFmtId="0" fontId="26" fillId="26" borderId="18" xfId="0" applyFont="1" applyFill="1" applyBorder="1" applyAlignment="1">
      <alignment horizontal="left"/>
    </xf>
    <xf numFmtId="0" fontId="1" fillId="26" borderId="18" xfId="0" applyFont="1" applyFill="1" applyBorder="1"/>
    <xf numFmtId="0" fontId="1" fillId="26" borderId="18" xfId="0" applyFont="1" applyFill="1" applyBorder="1" applyAlignment="1">
      <alignment horizontal="right"/>
    </xf>
    <xf numFmtId="2" fontId="1" fillId="0" borderId="18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30" fillId="27" borderId="18" xfId="43" applyFont="1" applyFill="1" applyBorder="1" applyAlignment="1">
      <alignment horizontal="left"/>
    </xf>
    <xf numFmtId="0" fontId="27" fillId="27" borderId="17" xfId="0" applyFont="1" applyFill="1" applyBorder="1" applyAlignment="1">
      <alignment horizontal="right"/>
    </xf>
    <xf numFmtId="0" fontId="27" fillId="27" borderId="18" xfId="0" applyFont="1" applyFill="1" applyBorder="1"/>
    <xf numFmtId="2" fontId="27" fillId="27" borderId="17" xfId="0" applyNumberFormat="1" applyFont="1" applyFill="1" applyBorder="1"/>
    <xf numFmtId="0" fontId="1" fillId="27" borderId="18" xfId="0" applyFont="1" applyFill="1" applyBorder="1"/>
    <xf numFmtId="0" fontId="26" fillId="27" borderId="18" xfId="0" applyFont="1" applyFill="1" applyBorder="1" applyAlignment="1">
      <alignment horizontal="left"/>
    </xf>
    <xf numFmtId="0" fontId="1" fillId="27" borderId="18" xfId="0" applyFont="1" applyFill="1" applyBorder="1" applyAlignment="1">
      <alignment horizontal="right"/>
    </xf>
    <xf numFmtId="0" fontId="26" fillId="27" borderId="18" xfId="43" applyFont="1" applyFill="1" applyBorder="1" applyAlignment="1">
      <alignment horizontal="left"/>
    </xf>
    <xf numFmtId="0" fontId="23" fillId="0" borderId="0" xfId="43" applyFont="1"/>
    <xf numFmtId="0" fontId="1" fillId="26" borderId="0" xfId="43" applyFill="1"/>
    <xf numFmtId="0" fontId="29" fillId="0" borderId="0" xfId="45" applyFont="1" applyAlignment="1">
      <alignment vertical="top"/>
    </xf>
    <xf numFmtId="2" fontId="1" fillId="27" borderId="18" xfId="0" applyNumberFormat="1" applyFont="1" applyFill="1" applyBorder="1"/>
    <xf numFmtId="0" fontId="1" fillId="26" borderId="18" xfId="45" applyFont="1" applyFill="1" applyBorder="1"/>
    <xf numFmtId="0" fontId="23" fillId="26" borderId="17" xfId="0" applyFont="1" applyFill="1" applyBorder="1"/>
    <xf numFmtId="2" fontId="1" fillId="0" borderId="18" xfId="45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32" fillId="27" borderId="17" xfId="0" applyFont="1" applyFill="1" applyBorder="1"/>
    <xf numFmtId="0" fontId="32" fillId="27" borderId="17" xfId="0" applyFont="1" applyFill="1" applyBorder="1" applyAlignment="1">
      <alignment horizontal="right"/>
    </xf>
    <xf numFmtId="2" fontId="32" fillId="27" borderId="17" xfId="0" applyNumberFormat="1" applyFont="1" applyFill="1" applyBorder="1"/>
    <xf numFmtId="0" fontId="33" fillId="27" borderId="18" xfId="43" applyFont="1" applyFill="1" applyBorder="1" applyAlignment="1">
      <alignment horizontal="left"/>
    </xf>
    <xf numFmtId="0" fontId="32" fillId="27" borderId="18" xfId="43" applyFont="1" applyFill="1" applyBorder="1" applyAlignment="1">
      <alignment horizontal="left"/>
    </xf>
    <xf numFmtId="0" fontId="1" fillId="27" borderId="18" xfId="45" applyFont="1" applyFill="1" applyBorder="1" applyAlignment="1">
      <alignment horizontal="center"/>
    </xf>
    <xf numFmtId="0" fontId="30" fillId="26" borderId="18" xfId="45" applyFont="1" applyFill="1" applyBorder="1" applyAlignment="1">
      <alignment horizontal="left"/>
    </xf>
    <xf numFmtId="0" fontId="27" fillId="27" borderId="18" xfId="0" applyFont="1" applyFill="1" applyBorder="1" applyAlignment="1">
      <alignment horizontal="center"/>
    </xf>
    <xf numFmtId="0" fontId="1" fillId="27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45" applyBorder="1" applyAlignment="1">
      <alignment horizontal="right"/>
    </xf>
    <xf numFmtId="0" fontId="1" fillId="0" borderId="0" xfId="45" applyFont="1" applyBorder="1"/>
    <xf numFmtId="1" fontId="0" fillId="0" borderId="0" xfId="0" applyNumberFormat="1"/>
    <xf numFmtId="0" fontId="2" fillId="28" borderId="17" xfId="0" applyFont="1" applyFill="1" applyBorder="1"/>
    <xf numFmtId="1" fontId="0" fillId="0" borderId="17" xfId="0" applyNumberFormat="1" applyBorder="1"/>
    <xf numFmtId="1" fontId="2" fillId="28" borderId="17" xfId="0" applyNumberFormat="1" applyFont="1" applyFill="1" applyBorder="1"/>
    <xf numFmtId="2" fontId="2" fillId="0" borderId="0" xfId="0" applyNumberFormat="1" applyFont="1"/>
    <xf numFmtId="0" fontId="0" fillId="0" borderId="17" xfId="0" applyBorder="1"/>
    <xf numFmtId="0" fontId="0" fillId="0" borderId="17" xfId="0" pivotButton="1" applyBorder="1"/>
    <xf numFmtId="0" fontId="0" fillId="29" borderId="17" xfId="0" applyFill="1" applyBorder="1"/>
    <xf numFmtId="0" fontId="29" fillId="29" borderId="17" xfId="0" applyFont="1" applyFill="1" applyBorder="1"/>
    <xf numFmtId="0" fontId="29" fillId="0" borderId="17" xfId="0" applyFont="1" applyBorder="1"/>
    <xf numFmtId="0" fontId="2" fillId="0" borderId="0" xfId="0" applyFont="1" applyAlignment="1">
      <alignment horizontal="right" vertical="center"/>
    </xf>
    <xf numFmtId="168" fontId="0" fillId="0" borderId="0" xfId="0" applyNumberFormat="1"/>
    <xf numFmtId="0" fontId="29" fillId="28" borderId="17" xfId="0" applyFont="1" applyFill="1" applyBorder="1"/>
    <xf numFmtId="0" fontId="2" fillId="29" borderId="17" xfId="0" applyFont="1" applyFill="1" applyBorder="1"/>
    <xf numFmtId="1" fontId="2" fillId="29" borderId="17" xfId="0" applyNumberFormat="1" applyFont="1" applyFill="1" applyBorder="1"/>
    <xf numFmtId="1" fontId="0" fillId="30" borderId="17" xfId="0" applyNumberFormat="1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2" fillId="28" borderId="17" xfId="45" applyFont="1" applyFill="1" applyBorder="1"/>
    <xf numFmtId="0" fontId="36" fillId="0" borderId="17" xfId="0" applyFont="1" applyFill="1" applyBorder="1" applyAlignment="1">
      <alignment wrapText="1"/>
    </xf>
    <xf numFmtId="0" fontId="36" fillId="0" borderId="17" xfId="0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left" wrapText="1"/>
    </xf>
    <xf numFmtId="0" fontId="1" fillId="27" borderId="17" xfId="0" applyFont="1" applyFill="1" applyBorder="1" applyAlignment="1">
      <alignment wrapText="1"/>
    </xf>
    <xf numFmtId="2" fontId="1" fillId="27" borderId="17" xfId="0" applyNumberFormat="1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" fontId="36" fillId="0" borderId="17" xfId="0" applyNumberFormat="1" applyFont="1" applyFill="1" applyBorder="1" applyAlignment="1">
      <alignment horizontal="center" wrapText="1"/>
    </xf>
    <xf numFmtId="0" fontId="1" fillId="0" borderId="17" xfId="45" applyFont="1" applyFill="1" applyBorder="1" applyAlignment="1">
      <alignment wrapText="1"/>
    </xf>
    <xf numFmtId="0" fontId="1" fillId="0" borderId="17" xfId="45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6" fillId="0" borderId="17" xfId="0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wrapText="1"/>
    </xf>
    <xf numFmtId="0" fontId="27" fillId="0" borderId="17" xfId="45" applyFont="1" applyFill="1" applyBorder="1" applyAlignment="1">
      <alignment horizontal="center" wrapText="1"/>
    </xf>
    <xf numFmtId="0" fontId="0" fillId="0" borderId="17" xfId="0" applyBorder="1"/>
    <xf numFmtId="0" fontId="2" fillId="29" borderId="0" xfId="45" applyFont="1" applyFill="1"/>
    <xf numFmtId="0" fontId="2" fillId="28" borderId="27" xfId="45" applyFont="1" applyFill="1" applyBorder="1" applyAlignment="1">
      <alignment horizontal="center"/>
    </xf>
    <xf numFmtId="0" fontId="2" fillId="28" borderId="28" xfId="45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9" borderId="0" xfId="0" applyFont="1" applyFill="1"/>
    <xf numFmtId="0" fontId="2" fillId="28" borderId="17" xfId="0" applyFont="1" applyFill="1" applyBorder="1"/>
    <xf numFmtId="0" fontId="26" fillId="28" borderId="17" xfId="0" applyFont="1" applyFill="1" applyBorder="1"/>
    <xf numFmtId="0" fontId="0" fillId="28" borderId="17" xfId="0" applyFill="1" applyBorder="1"/>
    <xf numFmtId="0" fontId="2" fillId="0" borderId="0" xfId="0" applyFont="1"/>
    <xf numFmtId="0" fontId="35" fillId="0" borderId="30" xfId="0" applyFont="1" applyBorder="1"/>
    <xf numFmtId="0" fontId="2" fillId="0" borderId="0" xfId="45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horizontal="left" wrapText="1"/>
    </xf>
    <xf numFmtId="0" fontId="26" fillId="26" borderId="27" xfId="45" applyFont="1" applyFill="1" applyBorder="1" applyAlignment="1">
      <alignment horizontal="left"/>
    </xf>
    <xf numFmtId="0" fontId="26" fillId="26" borderId="28" xfId="45" applyFont="1" applyFill="1" applyBorder="1" applyAlignment="1">
      <alignment horizontal="left"/>
    </xf>
    <xf numFmtId="0" fontId="29" fillId="0" borderId="0" xfId="45" applyFont="1" applyBorder="1" applyAlignment="1">
      <alignment vertical="top"/>
    </xf>
  </cellXfs>
  <cellStyles count="106">
    <cellStyle name="20% - Accent1" xfId="1" builtinId="30" customBuiltin="1"/>
    <cellStyle name="20% - Accent1 2" xfId="65"/>
    <cellStyle name="20% - Accent2" xfId="2" builtinId="34" customBuiltin="1"/>
    <cellStyle name="20% - Accent2 2" xfId="66"/>
    <cellStyle name="20% - Accent3" xfId="3" builtinId="38" customBuiltin="1"/>
    <cellStyle name="20% - Accent3 2" xfId="67"/>
    <cellStyle name="20% - Accent4" xfId="4" builtinId="42" customBuiltin="1"/>
    <cellStyle name="20% - Accent4 2" xfId="68"/>
    <cellStyle name="20% - Accent5" xfId="5" builtinId="46" customBuiltin="1"/>
    <cellStyle name="20% - Accent5 2" xfId="69"/>
    <cellStyle name="20% - Accent6" xfId="6" builtinId="50" customBuiltin="1"/>
    <cellStyle name="20% - Accent6 2" xfId="70"/>
    <cellStyle name="40% - Accent1" xfId="7" builtinId="31" customBuiltin="1"/>
    <cellStyle name="40% - Accent1 2" xfId="71"/>
    <cellStyle name="40% - Accent2" xfId="8" builtinId="35" customBuiltin="1"/>
    <cellStyle name="40% - Accent2 2" xfId="72"/>
    <cellStyle name="40% - Accent3" xfId="9" builtinId="39" customBuiltin="1"/>
    <cellStyle name="40% - Accent3 2" xfId="73"/>
    <cellStyle name="40% - Accent4" xfId="10" builtinId="43" customBuiltin="1"/>
    <cellStyle name="40% - Accent4 2" xfId="74"/>
    <cellStyle name="40% - Accent5" xfId="11" builtinId="47" customBuiltin="1"/>
    <cellStyle name="40% - Accent5 2" xfId="75"/>
    <cellStyle name="40% - Accent6" xfId="12" builtinId="51" customBuiltin="1"/>
    <cellStyle name="40% - Accent6 2" xfId="76"/>
    <cellStyle name="60% - Accent1" xfId="13" builtinId="32" customBuiltin="1"/>
    <cellStyle name="60% - Accent1 2" xfId="77"/>
    <cellStyle name="60% - Accent2" xfId="14" builtinId="36" customBuiltin="1"/>
    <cellStyle name="60% - Accent2 2" xfId="78"/>
    <cellStyle name="60% - Accent3" xfId="15" builtinId="40" customBuiltin="1"/>
    <cellStyle name="60% - Accent3 2" xfId="79"/>
    <cellStyle name="60% - Accent4" xfId="16" builtinId="44" customBuiltin="1"/>
    <cellStyle name="60% - Accent4 2" xfId="80"/>
    <cellStyle name="60% - Accent5" xfId="17" builtinId="48" customBuiltin="1"/>
    <cellStyle name="60% - Accent5 2" xfId="81"/>
    <cellStyle name="60% - Accent6" xfId="18" builtinId="52" customBuiltin="1"/>
    <cellStyle name="60% - Accent6 2" xfId="82"/>
    <cellStyle name="Accent1" xfId="19" builtinId="29" customBuiltin="1"/>
    <cellStyle name="Accent1 2" xfId="83"/>
    <cellStyle name="Accent2" xfId="20" builtinId="33" customBuiltin="1"/>
    <cellStyle name="Accent2 2" xfId="84"/>
    <cellStyle name="Accent3" xfId="21" builtinId="37" customBuiltin="1"/>
    <cellStyle name="Accent3 2" xfId="85"/>
    <cellStyle name="Accent4" xfId="22" builtinId="41" customBuiltin="1"/>
    <cellStyle name="Accent4 2" xfId="86"/>
    <cellStyle name="Accent5" xfId="23" builtinId="45" customBuiltin="1"/>
    <cellStyle name="Accent5 2" xfId="87"/>
    <cellStyle name="Accent6" xfId="24" builtinId="49" customBuiltin="1"/>
    <cellStyle name="Accent6 2" xfId="88"/>
    <cellStyle name="Bad" xfId="25" builtinId="27" customBuiltin="1"/>
    <cellStyle name="Bad 2" xfId="89"/>
    <cellStyle name="Calculation" xfId="26" builtinId="22" customBuiltin="1"/>
    <cellStyle name="Calculation 2" xfId="90"/>
    <cellStyle name="Check Cell" xfId="27" builtinId="23" customBuiltin="1"/>
    <cellStyle name="Check Cell 2" xfId="91"/>
    <cellStyle name="Explanatory Text" xfId="28" builtinId="53" customBuiltin="1"/>
    <cellStyle name="Explanatory Text 2" xfId="92"/>
    <cellStyle name="Good" xfId="29" builtinId="26" customBuiltin="1"/>
    <cellStyle name="Good 2" xfId="93"/>
    <cellStyle name="Heading 1" xfId="30" builtinId="16" customBuiltin="1"/>
    <cellStyle name="Heading 1 2" xfId="94"/>
    <cellStyle name="Heading 2" xfId="31" builtinId="17" customBuiltin="1"/>
    <cellStyle name="Heading 2 2" xfId="95"/>
    <cellStyle name="Heading 3" xfId="32" builtinId="18" customBuiltin="1"/>
    <cellStyle name="Heading 3 2" xfId="96"/>
    <cellStyle name="Heading 4" xfId="33" builtinId="19" customBuiltin="1"/>
    <cellStyle name="Heading 4 2" xfId="97"/>
    <cellStyle name="Hyperlink" xfId="64" builtinId="8"/>
    <cellStyle name="Hyperlink 2" xfId="46"/>
    <cellStyle name="Input" xfId="34" builtinId="20" customBuiltin="1"/>
    <cellStyle name="Input 2" xfId="98"/>
    <cellStyle name="Linked Cell" xfId="35" builtinId="24" customBuiltin="1"/>
    <cellStyle name="Linked Cell 2" xfId="99"/>
    <cellStyle name="Neutral" xfId="36" builtinId="28" customBuiltin="1"/>
    <cellStyle name="Neutral 2" xfId="100"/>
    <cellStyle name="Normal" xfId="0" builtinId="0"/>
    <cellStyle name="Normal 2" xfId="37"/>
    <cellStyle name="Normal 2 10" xfId="45"/>
    <cellStyle name="Normal 2 11" xfId="47"/>
    <cellStyle name="Normal 2 12" xfId="48"/>
    <cellStyle name="Normal 2 13" xfId="49"/>
    <cellStyle name="Normal 2 14" xfId="50"/>
    <cellStyle name="Normal 2 15" xfId="51"/>
    <cellStyle name="Normal 2 16" xfId="52"/>
    <cellStyle name="Normal 2 17" xfId="53"/>
    <cellStyle name="Normal 2 18" xfId="54"/>
    <cellStyle name="Normal 2 19" xfId="55"/>
    <cellStyle name="Normal 2 2" xfId="43"/>
    <cellStyle name="Normal 2 3" xfId="56"/>
    <cellStyle name="Normal 2 4" xfId="57"/>
    <cellStyle name="Normal 2 5" xfId="58"/>
    <cellStyle name="Normal 2 6" xfId="59"/>
    <cellStyle name="Normal 2 7" xfId="60"/>
    <cellStyle name="Normal 2 8" xfId="61"/>
    <cellStyle name="Normal 2 9" xfId="62"/>
    <cellStyle name="Normal 3" xfId="44"/>
    <cellStyle name="Normal 3 2" xfId="63"/>
    <cellStyle name="Note" xfId="38" builtinId="10" customBuiltin="1"/>
    <cellStyle name="Note 2" xfId="101"/>
    <cellStyle name="Output" xfId="39" builtinId="21" customBuiltin="1"/>
    <cellStyle name="Output 2" xfId="102"/>
    <cellStyle name="Title" xfId="40" builtinId="15" customBuiltin="1"/>
    <cellStyle name="Title 2" xfId="103"/>
    <cellStyle name="Total" xfId="41" builtinId="25" customBuiltin="1"/>
    <cellStyle name="Total 2" xfId="104"/>
    <cellStyle name="Warning Text" xfId="42" builtinId="11" customBuiltin="1"/>
    <cellStyle name="Warning Text 2" xfId="105"/>
  </cellStyles>
  <dxfs count="206"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 tint="0.7999511703848384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solid"/>
      </fill>
    </dxf>
    <dxf>
      <fill>
        <patternFill patternType="solid"/>
      </fill>
    </dxf>
    <dxf>
      <fill>
        <patternFill patternType="solid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</dxf>
  </dxfs>
  <tableStyles count="0" defaultTableStyle="TableStyleMedium9" defaultPivotStyle="PivotStyleLight16"/>
  <colors>
    <mruColors>
      <color rgb="FFBB97F1"/>
      <color rgb="FF33CCFF"/>
      <color rgb="FFFF00FF"/>
      <color rgb="FFFF5050"/>
      <color rgb="FF96EEA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ST-GAYATHRI" refreshedDate="42236.973326967593" createdVersion="1" refreshedVersion="3" recordCount="54">
  <cacheSource type="worksheet">
    <worksheetSource ref="B8:J62" sheet="P2-PAD FOOTINGS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7"/>
    </cacheField>
    <cacheField name="Qty" numFmtId="0">
      <sharedItems containsString="0" containsBlank="1" containsNumber="1" containsInteger="1" minValue="5" maxValue="11"/>
    </cacheField>
    <cacheField name="Bar Dia" numFmtId="0">
      <sharedItems containsString="0" containsBlank="1" containsNumber="1" containsInteger="1" minValue="6" maxValue="10" count="6">
        <m/>
        <n v="6"/>
        <n v="7"/>
        <n v="8"/>
        <n v="10"/>
        <n v="9"/>
      </sharedItems>
    </cacheField>
    <cacheField name="Bend Type" numFmtId="0">
      <sharedItems containsBlank="1" count="3">
        <m/>
        <s v="STR"/>
        <s v="BNT"/>
      </sharedItems>
    </cacheField>
    <cacheField name="Length" numFmtId="0">
      <sharedItems containsBlank="1" containsMixedTypes="1" containsNumber="1" minValue="3.67" maxValue="11.67"/>
    </cacheField>
    <cacheField name="Weight(LBS)" numFmtId="2">
      <sharedItems containsSemiMixedTypes="0" containsString="0" containsNumber="1" minValue="0" maxValue="12217.400639999998"/>
    </cacheField>
    <cacheField name="Grade" numFmtId="0">
      <sharedItems containsNonDate="0" containsString="0" containsBlank="1"/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ST-GAYATHRI" refreshedDate="42236.973338888885" createdVersion="1" refreshedVersion="3" recordCount="51">
  <cacheSource type="worksheet">
    <worksheetSource ref="B8:J59" sheet="2ND FLOOR BEAMS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String="0" containsBlank="1" containsNumber="1" containsInteger="1" minValue="4" maxValue="4"/>
    </cacheField>
    <cacheField name="Qty" numFmtId="0">
      <sharedItems containsString="0" containsBlank="1" containsNumber="1" containsInteger="1" minValue="2" maxValue="386"/>
    </cacheField>
    <cacheField name="Bar Dia" numFmtId="0">
      <sharedItems containsString="0" containsBlank="1" containsNumber="1" containsInteger="1" minValue="3" maxValue="11" count="9">
        <m/>
        <n v="8"/>
        <n v="7"/>
        <n v="3"/>
        <n v="9"/>
        <n v="10"/>
        <n v="11"/>
        <n v="4"/>
        <n v="5"/>
      </sharedItems>
    </cacheField>
    <cacheField name="Bend Type" numFmtId="0">
      <sharedItems containsBlank="1" count="4">
        <m/>
        <s v="STR"/>
        <s v="BNT"/>
        <s v="STK"/>
      </sharedItems>
    </cacheField>
    <cacheField name="Length" numFmtId="0">
      <sharedItems containsBlank="1" containsMixedTypes="1" containsNumber="1" minValue="4.5" maxValue="40"/>
    </cacheField>
    <cacheField name="Weight(LBS)" numFmtId="2">
      <sharedItems containsSemiMixedTypes="0" containsString="0" containsNumber="1" minValue="0" maxValue="16876.810744999999"/>
    </cacheField>
    <cacheField name="Grade" numFmtId="0">
      <sharedItems containsNonDate="0" containsString="0" containsBlank="1"/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ST-GAYATHRI" refreshedDate="42236.973340277778" createdVersion="1" refreshedVersion="3" recordCount="401">
  <cacheSource type="worksheet">
    <worksheetSource ref="B8:J409" sheet="2ND FLOOR SLAB"/>
  </cacheSource>
  <cacheFields count="9">
    <cacheField name="SL.No" numFmtId="0">
      <sharedItems containsString="0" containsBlank="1" containsNumber="1" containsInteger="1" minValue="1" maxValue="40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21"/>
    </cacheField>
    <cacheField name="Qty" numFmtId="0">
      <sharedItems containsString="0" containsBlank="1" containsNumber="1" containsInteger="1" minValue="2" maxValue="1060"/>
    </cacheField>
    <cacheField name="Bar Dia" numFmtId="0">
      <sharedItems containsString="0" containsBlank="1" containsNumber="1" containsInteger="1" minValue="4" maxValue="10" count="8">
        <m/>
        <n v="9"/>
        <n v="5"/>
        <n v="8"/>
        <n v="6"/>
        <n v="7"/>
        <n v="10"/>
        <n v="4"/>
      </sharedItems>
    </cacheField>
    <cacheField name="Bend Type" numFmtId="0">
      <sharedItems containsBlank="1" count="4">
        <m/>
        <s v="STR"/>
        <s v="STK"/>
        <s v="BNT"/>
      </sharedItems>
    </cacheField>
    <cacheField name="Length" numFmtId="0">
      <sharedItems containsBlank="1" containsMixedTypes="1" containsNumber="1" minValue="3.3127499999999999" maxValue="40"/>
    </cacheField>
    <cacheField name="Weight(LBS)" numFmtId="2">
      <sharedItems containsSemiMixedTypes="0" containsString="0" containsNumber="1" minValue="0" maxValue="182964.54775715008"/>
    </cacheField>
    <cacheField name="Grade" numFmtId="0">
      <sharedItems containsNonDate="0" containsString="0" containsBlank="1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ST-GAYATHRI" refreshedDate="42236.973342013887" createdVersion="1" refreshedVersion="3" recordCount="101">
  <cacheSource type="worksheet">
    <worksheetSource ref="B8:J109" sheet="STAIRS"/>
  </cacheSource>
  <cacheFields count="9">
    <cacheField name="SL.No" numFmtId="0">
      <sharedItems containsString="0" containsBlank="1" containsNumber="1" containsInteger="1" minValue="1" maxValue="10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21"/>
    </cacheField>
    <cacheField name="Qty" numFmtId="0">
      <sharedItems containsString="0" containsBlank="1" containsNumber="1" containsInteger="1" minValue="1" maxValue="35"/>
    </cacheField>
    <cacheField name="Bar Dia" numFmtId="0">
      <sharedItems containsString="0" containsBlank="1" containsNumber="1" containsInteger="1" minValue="3" maxValue="5" count="4">
        <m/>
        <n v="4"/>
        <n v="3"/>
        <n v="5"/>
      </sharedItems>
    </cacheField>
    <cacheField name="Bend Type" numFmtId="0">
      <sharedItems containsBlank="1" count="3">
        <m/>
        <s v="BNT"/>
        <s v="STR"/>
      </sharedItems>
    </cacheField>
    <cacheField name="Length" numFmtId="0">
      <sharedItems containsBlank="1" containsMixedTypes="1" containsNumber="1" minValue="2.67" maxValue="23.17"/>
    </cacheField>
    <cacheField name="Weight(LBS)" numFmtId="2">
      <sharedItems containsSemiMixedTypes="0" containsString="0" containsNumber="1" minValue="0" maxValue="1847.9160799999995"/>
    </cacheField>
    <cacheField name="Grade" numFmtId="0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ST-GAYATHRI" refreshedDate="42236.973330439818" createdVersion="1" refreshedVersion="3" recordCount="104">
  <cacheSource type="worksheet">
    <worksheetSource ref="B8:J112" sheet="P2-WALL FOOTINGS"/>
  </cacheSource>
  <cacheFields count="9">
    <cacheField name="SL.No" numFmtId="0">
      <sharedItems containsString="0" containsBlank="1" containsNumber="1" containsInteger="1" minValue="1" maxValue="100"/>
    </cacheField>
    <cacheField name="Element" numFmtId="0">
      <sharedItems containsBlank="1"/>
    </cacheField>
    <cacheField name="Multi" numFmtId="0">
      <sharedItems containsString="0" containsBlank="1" containsNumber="1" containsInteger="1" minValue="1" maxValue="10"/>
    </cacheField>
    <cacheField name="Qty" numFmtId="0">
      <sharedItems containsString="0" containsBlank="1" containsNumber="1" containsInteger="1" minValue="2" maxValue="818"/>
    </cacheField>
    <cacheField name="Bar Dia" numFmtId="0">
      <sharedItems containsString="0" containsBlank="1" containsNumber="1" containsInteger="1" minValue="4" maxValue="9" count="7">
        <m/>
        <n v="5"/>
        <n v="6"/>
        <n v="7"/>
        <n v="4"/>
        <n v="9"/>
        <n v="8"/>
      </sharedItems>
    </cacheField>
    <cacheField name="Bend Type" numFmtId="0">
      <sharedItems containsBlank="1" count="4">
        <m/>
        <s v="STR"/>
        <s v="STK"/>
        <s v="BNT"/>
      </sharedItems>
    </cacheField>
    <cacheField name="Length" numFmtId="0">
      <sharedItems containsBlank="1" containsMixedTypes="1" containsNumber="1" minValue="1.1659999999999999" maxValue="40"/>
    </cacheField>
    <cacheField name="Weight(LBS)" numFmtId="2">
      <sharedItems containsSemiMixedTypes="0" containsString="0" containsNumber="1" minValue="0" maxValue="37865.146376000012"/>
    </cacheField>
    <cacheField name="Grade" numFmtId="0">
      <sharedItems containsNonDate="0" containsString="0"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ST-GAYATHRI" refreshedDate="42236.97333148148" createdVersion="1" refreshedVersion="3" recordCount="51">
  <cacheSource type="worksheet">
    <worksheetSource ref="B8:J59" sheet="P2-SLAB ON GRADE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8"/>
    </cacheField>
    <cacheField name="Qty" numFmtId="0">
      <sharedItems containsString="0" containsBlank="1" containsNumber="1" containsInteger="1" minValue="5" maxValue="732"/>
    </cacheField>
    <cacheField name="Bar Dia" numFmtId="0">
      <sharedItems containsString="0" containsBlank="1" containsNumber="1" containsInteger="1" minValue="4" maxValue="7" count="4">
        <m/>
        <n v="4"/>
        <n v="5"/>
        <n v="7"/>
      </sharedItems>
    </cacheField>
    <cacheField name="Bend Type" numFmtId="0">
      <sharedItems containsBlank="1" count="4">
        <m/>
        <s v="STK"/>
        <s v="BNT"/>
        <s v="STR"/>
      </sharedItems>
    </cacheField>
    <cacheField name="Length" numFmtId="0">
      <sharedItems containsBlank="1" containsMixedTypes="1" containsNumber="1" minValue="3.42" maxValue="40"/>
    </cacheField>
    <cacheField name="Weight(LBS)" numFmtId="2">
      <sharedItems containsSemiMixedTypes="0" containsString="0" containsNumber="1" minValue="0" maxValue="24422.529026000007"/>
    </cacheField>
    <cacheField name="Grade" numFmtId="0">
      <sharedItems containsNonDate="0" containsString="0" containsBlank="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ST-GAYATHRI" refreshedDate="42236.973332407404" createdVersion="1" refreshedVersion="3" recordCount="401">
  <cacheSource type="worksheet">
    <worksheetSource ref="B8:J409" sheet="COLUMNS"/>
  </cacheSource>
  <cacheFields count="9">
    <cacheField name="SL.No" numFmtId="0">
      <sharedItems containsString="0" containsBlank="1" containsNumber="1" containsInteger="1" minValue="1" maxValue="40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4"/>
    </cacheField>
    <cacheField name="Qty" numFmtId="0">
      <sharedItems containsString="0" containsBlank="1" containsNumber="1" containsInteger="1" minValue="6" maxValue="41"/>
    </cacheField>
    <cacheField name="Bar Dia" numFmtId="0">
      <sharedItems containsString="0" containsBlank="1" containsNumber="1" containsInteger="1" minValue="3" maxValue="10" count="5">
        <m/>
        <n v="10"/>
        <n v="3"/>
        <n v="9"/>
        <n v="8"/>
      </sharedItems>
    </cacheField>
    <cacheField name="Bend Type" numFmtId="0">
      <sharedItems containsBlank="1" count="3">
        <m/>
        <s v="STR"/>
        <s v="BNT"/>
      </sharedItems>
    </cacheField>
    <cacheField name="Length" numFmtId="0">
      <sharedItems containsBlank="1" containsMixedTypes="1" containsNumber="1" minValue="1.25" maxValue="19.539999999999985"/>
    </cacheField>
    <cacheField name="Weight(LBS)" numFmtId="2">
      <sharedItems containsSemiMixedTypes="0" containsString="0" containsNumber="1" minValue="0" maxValue="41307.340559999975"/>
    </cacheField>
    <cacheField name="Grade" numFmtId="0">
      <sharedItems containsNonDate="0" containsString="0"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ST-GAYATHRI" refreshedDate="42236.973333333335" createdVersion="1" refreshedVersion="3" recordCount="51">
  <cacheSource type="worksheet">
    <worksheetSource ref="B8:J59" sheet="CONCRETE WALLS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36"/>
    </cacheField>
    <cacheField name="Qty" numFmtId="0">
      <sharedItems containsString="0" containsBlank="1" containsNumber="1" containsInteger="1" minValue="1" maxValue="925"/>
    </cacheField>
    <cacheField name="Bar Dia" numFmtId="0">
      <sharedItems containsString="0" containsBlank="1" containsNumber="1" containsInteger="1" minValue="3" maxValue="9" count="7">
        <m/>
        <n v="7"/>
        <n v="4"/>
        <n v="5"/>
        <n v="8"/>
        <n v="3"/>
        <n v="9"/>
      </sharedItems>
    </cacheField>
    <cacheField name="Bend Type" numFmtId="0">
      <sharedItems containsBlank="1" count="4">
        <m/>
        <s v="STR"/>
        <s v="STK"/>
        <s v="BNT"/>
      </sharedItems>
    </cacheField>
    <cacheField name="Length" numFmtId="0">
      <sharedItems containsBlank="1" containsMixedTypes="1" containsNumber="1" minValue="1.3299999999999998" maxValue="40"/>
    </cacheField>
    <cacheField name="Weight(LBS)" numFmtId="2">
      <sharedItems containsSemiMixedTypes="0" containsString="0" containsNumber="1" minValue="0" maxValue="151422.59516500004"/>
    </cacheField>
    <cacheField name="Grade" numFmtId="0">
      <sharedItems containsNonDate="0" containsString="0" containsBlank="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ST-GAYATHRI" refreshedDate="42236.973334374998" createdVersion="1" refreshedVersion="3" recordCount="51">
  <cacheSource type="worksheet">
    <worksheetSource ref="B8:J59" sheet="P1 LEVEL BEAMS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NonDate="0" containsString="0" containsBlank="1"/>
    </cacheField>
    <cacheField name="Qty" numFmtId="0">
      <sharedItems containsString="0" containsBlank="1" containsNumber="1" containsInteger="1" minValue="2" maxValue="44"/>
    </cacheField>
    <cacheField name="Bar Dia" numFmtId="0">
      <sharedItems containsString="0" containsBlank="1" containsNumber="1" containsInteger="1" minValue="3" maxValue="10" count="7">
        <m/>
        <n v="9"/>
        <n v="8"/>
        <n v="3"/>
        <n v="10"/>
        <n v="7"/>
        <n v="5"/>
      </sharedItems>
    </cacheField>
    <cacheField name="Bend Type" numFmtId="0">
      <sharedItems containsBlank="1" count="3">
        <m/>
        <s v="STR"/>
        <s v="BNT"/>
      </sharedItems>
    </cacheField>
    <cacheField name="Length" numFmtId="0">
      <sharedItems containsBlank="1" containsMixedTypes="1" containsNumber="1" minValue="4.5" maxValue="37.75"/>
    </cacheField>
    <cacheField name="Weight(LBS)" numFmtId="2">
      <sharedItems containsSemiMixedTypes="0" containsString="0" containsNumber="1" minValue="0" maxValue="1898.1483799999999"/>
    </cacheField>
    <cacheField name="Grade" numFmtId="0">
      <sharedItems containsNonDate="0" containsString="0" containsBlank="1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ST-GAYATHRI" refreshedDate="42236.973335416667" createdVersion="1" refreshedVersion="3" recordCount="351">
  <cacheSource type="worksheet">
    <worksheetSource ref="B8:J359" sheet="P1 LEVEL SLAB"/>
  </cacheSource>
  <cacheFields count="9">
    <cacheField name="SL.No" numFmtId="0">
      <sharedItems containsString="0" containsBlank="1" containsNumber="1" containsInteger="1" minValue="1" maxValue="350"/>
    </cacheField>
    <cacheField name="Element" numFmtId="0">
      <sharedItems containsBlank="1"/>
    </cacheField>
    <cacheField name="Multi" numFmtId="0">
      <sharedItems containsString="0" containsBlank="1" containsNumber="1" containsInteger="1" minValue="2" maxValue="15"/>
    </cacheField>
    <cacheField name="Qty" numFmtId="0">
      <sharedItems containsString="0" containsBlank="1" containsNumber="1" containsInteger="1" minValue="1" maxValue="1115"/>
    </cacheField>
    <cacheField name="Bar Dia" numFmtId="0">
      <sharedItems containsString="0" containsBlank="1" containsNumber="1" containsInteger="1" minValue="4" maxValue="9" count="7">
        <m/>
        <n v="5"/>
        <n v="6"/>
        <n v="7"/>
        <n v="8"/>
        <n v="9"/>
        <n v="4"/>
      </sharedItems>
    </cacheField>
    <cacheField name="Bend Type" numFmtId="0">
      <sharedItems containsBlank="1" count="4">
        <m/>
        <s v="BNT"/>
        <s v="STR"/>
        <s v="STK"/>
      </sharedItems>
    </cacheField>
    <cacheField name="Length" numFmtId="0">
      <sharedItems containsBlank="1" containsMixedTypes="1" containsNumber="1" minValue="1.84" maxValue="40"/>
    </cacheField>
    <cacheField name="Weight(LBS)" numFmtId="2">
      <sharedItems containsSemiMixedTypes="0" containsString="0" containsNumber="1" minValue="0" maxValue="121001.15973400003"/>
    </cacheField>
    <cacheField name="Grade" numFmtId="0">
      <sharedItems containsNonDate="0" containsString="0" containsBlank="1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ST-GAYATHRI" refreshedDate="42236.973336342591" createdVersion="1" refreshedVersion="3" recordCount="51">
  <cacheSource type="worksheet">
    <worksheetSource ref="B8:J59" sheet="1ST FLOOR BEAMS"/>
  </cacheSource>
  <cacheFields count="9">
    <cacheField name="SL.No" numFmtId="0">
      <sharedItems containsString="0" containsBlank="1" containsNumber="1" containsInteger="1" minValue="1" maxValue="50"/>
    </cacheField>
    <cacheField name="Element" numFmtId="0">
      <sharedItems containsBlank="1"/>
    </cacheField>
    <cacheField name="Multi" numFmtId="0">
      <sharedItems containsNonDate="0" containsString="0" containsBlank="1"/>
    </cacheField>
    <cacheField name="Qty" numFmtId="0">
      <sharedItems containsString="0" containsBlank="1" containsNumber="1" containsInteger="1" minValue="2" maxValue="34"/>
    </cacheField>
    <cacheField name="Bar Dia" numFmtId="0">
      <sharedItems containsString="0" containsBlank="1" containsNumber="1" containsInteger="1" minValue="3" maxValue="9" count="5">
        <m/>
        <n v="9"/>
        <n v="8"/>
        <n v="3"/>
        <n v="7"/>
      </sharedItems>
    </cacheField>
    <cacheField name="Bend Type" numFmtId="0">
      <sharedItems containsBlank="1" count="3">
        <m/>
        <s v="STR"/>
        <s v="BNT"/>
      </sharedItems>
    </cacheField>
    <cacheField name="Length" numFmtId="0">
      <sharedItems containsBlank="1" containsMixedTypes="1" containsNumber="1" minValue="5.66" maxValue="30.875"/>
    </cacheField>
    <cacheField name="Weight(LBS)" numFmtId="2">
      <sharedItems containsSemiMixedTypes="0" containsString="0" containsNumber="1" minValue="0" maxValue="1124.9842200000001"/>
    </cacheField>
    <cacheField name="Grade" numFmtId="0">
      <sharedItems containsNonDate="0" containsString="0" containsBlank="1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ST-GAYATHRI" refreshedDate="42236.973337847223" createdVersion="1" refreshedVersion="3" recordCount="401">
  <cacheSource type="worksheet">
    <worksheetSource ref="B8:J409" sheet="1ST FLOOR SLAB"/>
  </cacheSource>
  <cacheFields count="9">
    <cacheField name="SL.No" numFmtId="0">
      <sharedItems containsString="0" containsBlank="1" containsNumber="1" containsInteger="1" minValue="1" maxValue="400"/>
    </cacheField>
    <cacheField name="Element" numFmtId="0">
      <sharedItems containsBlank="1"/>
    </cacheField>
    <cacheField name="Multi" numFmtId="0">
      <sharedItems containsString="0" containsBlank="1" containsNumber="1" containsInteger="1" minValue="6" maxValue="18"/>
    </cacheField>
    <cacheField name="Qty" numFmtId="0">
      <sharedItems containsString="0" containsBlank="1" containsNumber="1" containsInteger="1" minValue="1" maxValue="916"/>
    </cacheField>
    <cacheField name="Bar Dia" numFmtId="0">
      <sharedItems containsString="0" containsBlank="1" containsNumber="1" containsInteger="1" minValue="4" maxValue="9" count="7">
        <m/>
        <n v="8"/>
        <n v="6"/>
        <n v="5"/>
        <n v="7"/>
        <n v="9"/>
        <n v="4"/>
      </sharedItems>
    </cacheField>
    <cacheField name="Bend Type" numFmtId="0">
      <sharedItems containsBlank="1" count="4">
        <m/>
        <s v="STR"/>
        <s v="BNT"/>
        <s v="STK"/>
      </sharedItems>
    </cacheField>
    <cacheField name="Length" numFmtId="0">
      <sharedItems containsBlank="1" containsMixedTypes="1" containsNumber="1" minValue="2" maxValue="40"/>
    </cacheField>
    <cacheField name="Weight(LBS)" numFmtId="2">
      <sharedItems containsSemiMixedTypes="0" containsString="0" containsNumber="1" minValue="0" maxValue="117858.21235930009"/>
    </cacheField>
    <cacheField name="Grad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n v="1"/>
    <s v="SHEET NO:S2 FOUNDATION PLAN "/>
    <m/>
    <m/>
    <x v="0"/>
    <x v="0"/>
    <m/>
    <n v="0"/>
    <m/>
  </r>
  <r>
    <n v="2"/>
    <s v="PAD FOOTINGS"/>
    <m/>
    <m/>
    <x v="0"/>
    <x v="0"/>
    <m/>
    <n v="0"/>
    <m/>
  </r>
  <r>
    <n v="3"/>
    <s v="F2(7'-6&quot;x4'-0&quot;x3'-6&quot;THK) (3 LOCS)"/>
    <m/>
    <m/>
    <x v="0"/>
    <x v="0"/>
    <m/>
    <n v="0"/>
    <m/>
  </r>
  <r>
    <n v="4"/>
    <s v="#6 @12 BOT LW"/>
    <n v="3"/>
    <n v="5"/>
    <x v="1"/>
    <x v="1"/>
    <n v="7.17"/>
    <n v="161.5401"/>
    <m/>
  </r>
  <r>
    <n v="5"/>
    <s v="#6 @12 BOT SW"/>
    <n v="3"/>
    <n v="9"/>
    <x v="1"/>
    <x v="1"/>
    <n v="3.67"/>
    <n v="148.83318"/>
    <m/>
  </r>
  <r>
    <n v="6"/>
    <s v="F3(7'-0&quot;x7'-0&quot;x2'-0&quot;THK) (2 LOCS)"/>
    <m/>
    <m/>
    <x v="0"/>
    <x v="0"/>
    <m/>
    <n v="0"/>
    <m/>
  </r>
  <r>
    <n v="7"/>
    <s v="8 #6 BOT EW"/>
    <n v="2"/>
    <n v="8"/>
    <x v="1"/>
    <x v="1"/>
    <n v="6.67"/>
    <n v="160.29344"/>
    <m/>
  </r>
  <r>
    <n v="8"/>
    <s v="F4(8'-0&quot;x8'-0&quot;x2'-2&quot;THK)"/>
    <m/>
    <m/>
    <x v="0"/>
    <x v="0"/>
    <m/>
    <n v="0"/>
    <m/>
  </r>
  <r>
    <n v="9"/>
    <s v="8 #7 BOT EW"/>
    <m/>
    <n v="8"/>
    <x v="2"/>
    <x v="1"/>
    <n v="7.67"/>
    <n v="125.41984000000001"/>
    <m/>
  </r>
  <r>
    <n v="10"/>
    <s v="F5(9'-0&quot;x9'-O&quot;x2'-4&quot;THK) (2 LOCS)"/>
    <m/>
    <m/>
    <x v="0"/>
    <x v="0"/>
    <m/>
    <n v="0"/>
    <m/>
  </r>
  <r>
    <n v="11"/>
    <s v="9 #7 BOT EW"/>
    <n v="2"/>
    <n v="9"/>
    <x v="2"/>
    <x v="1"/>
    <n v="8.67"/>
    <n v="318.98663999999997"/>
    <m/>
  </r>
  <r>
    <n v="12"/>
    <s v="F6(10'-0&quot;x10'-0&quot;x2'-8&quot;THK) (4 LOCS)"/>
    <m/>
    <m/>
    <x v="0"/>
    <x v="0"/>
    <m/>
    <n v="0"/>
    <m/>
  </r>
  <r>
    <n v="13"/>
    <s v="9 #8BOT EW"/>
    <n v="4"/>
    <n v="9"/>
    <x v="3"/>
    <x v="1"/>
    <n v="9.67"/>
    <n v="929.48039999999992"/>
    <m/>
  </r>
  <r>
    <n v="14"/>
    <s v="F7(11'-0&quot;x11'-0&quot;x3'-0&quot;THK) (7 LOCS)"/>
    <m/>
    <m/>
    <x v="0"/>
    <x v="0"/>
    <m/>
    <n v="0"/>
    <m/>
  </r>
  <r>
    <n v="15"/>
    <s v="10 #8 BOT EW"/>
    <n v="7"/>
    <n v="10"/>
    <x v="3"/>
    <x v="1"/>
    <n v="10.67"/>
    <n v="1994.2229999999997"/>
    <m/>
  </r>
  <r>
    <n v="16"/>
    <s v="F8(12'-0&quot;x12'-0&quot;x3'-4&quot;THK) (6 LOCS)"/>
    <m/>
    <m/>
    <x v="0"/>
    <x v="0"/>
    <m/>
    <n v="0"/>
    <m/>
  </r>
  <r>
    <n v="17"/>
    <s v="11 #8 BOT EW"/>
    <n v="6"/>
    <n v="11"/>
    <x v="3"/>
    <x v="1"/>
    <n v="11.67"/>
    <n v="2056.4874"/>
    <m/>
  </r>
  <r>
    <n v="18"/>
    <s v="COLUMN DWLS"/>
    <m/>
    <m/>
    <x v="0"/>
    <x v="0"/>
    <m/>
    <n v="0"/>
    <m/>
  </r>
  <r>
    <n v="19"/>
    <s v="6- #10 DWLS"/>
    <m/>
    <n v="6"/>
    <x v="4"/>
    <x v="2"/>
    <n v="9.58"/>
    <n v="247.33644000000001"/>
    <m/>
  </r>
  <r>
    <n v="20"/>
    <s v="6- #10 DWLS"/>
    <m/>
    <n v="6"/>
    <x v="4"/>
    <x v="2"/>
    <n v="9.58"/>
    <n v="247.33644000000001"/>
    <m/>
  </r>
  <r>
    <n v="21"/>
    <s v="6- #10 DWLS"/>
    <m/>
    <n v="6"/>
    <x v="4"/>
    <x v="2"/>
    <n v="9.58"/>
    <n v="247.33644000000001"/>
    <m/>
  </r>
  <r>
    <n v="22"/>
    <s v="6- #10 DWLS"/>
    <m/>
    <n v="6"/>
    <x v="4"/>
    <x v="2"/>
    <n v="9.58"/>
    <n v="247.33644000000001"/>
    <m/>
  </r>
  <r>
    <n v="22"/>
    <s v="6- #10 DWLS"/>
    <m/>
    <n v="6"/>
    <x v="4"/>
    <x v="2"/>
    <n v="9.58"/>
    <n v="247.33644000000001"/>
    <m/>
  </r>
  <r>
    <n v="23"/>
    <s v="6- #10 DWLS"/>
    <m/>
    <n v="6"/>
    <x v="4"/>
    <x v="2"/>
    <n v="9.58"/>
    <n v="247.33644000000001"/>
    <m/>
  </r>
  <r>
    <n v="24"/>
    <s v="6- #9 DWLS"/>
    <m/>
    <n v="6"/>
    <x v="5"/>
    <x v="2"/>
    <n v="8.91"/>
    <n v="181.76400000000001"/>
    <m/>
  </r>
  <r>
    <n v="25"/>
    <s v="6- #9 DWLS"/>
    <m/>
    <n v="6"/>
    <x v="5"/>
    <x v="2"/>
    <n v="8.91"/>
    <n v="181.76400000000001"/>
    <m/>
  </r>
  <r>
    <n v="26"/>
    <s v="6- #9 DWLS"/>
    <m/>
    <n v="6"/>
    <x v="5"/>
    <x v="2"/>
    <n v="8.91"/>
    <n v="181.76400000000001"/>
    <m/>
  </r>
  <r>
    <n v="27"/>
    <s v="6- #9 DWLS"/>
    <m/>
    <n v="6"/>
    <x v="5"/>
    <x v="2"/>
    <n v="8.91"/>
    <n v="181.76400000000001"/>
    <m/>
  </r>
  <r>
    <n v="28"/>
    <s v="6- #9 DWLS"/>
    <m/>
    <n v="6"/>
    <x v="5"/>
    <x v="2"/>
    <n v="8.91"/>
    <n v="181.76400000000001"/>
    <m/>
  </r>
  <r>
    <n v="29"/>
    <s v="6- #9 DWLS"/>
    <m/>
    <n v="6"/>
    <x v="5"/>
    <x v="2"/>
    <n v="8.58"/>
    <n v="175.03200000000001"/>
    <m/>
  </r>
  <r>
    <n v="29"/>
    <s v="6- #9 DWLS"/>
    <m/>
    <n v="6"/>
    <x v="5"/>
    <x v="2"/>
    <n v="8.58"/>
    <n v="175.03200000000001"/>
    <m/>
  </r>
  <r>
    <n v="30"/>
    <s v="6- #9 DWLS"/>
    <m/>
    <n v="6"/>
    <x v="5"/>
    <x v="2"/>
    <n v="9.25"/>
    <n v="188.7"/>
    <m/>
  </r>
  <r>
    <n v="31"/>
    <s v="6- #9 DWLS"/>
    <m/>
    <n v="6"/>
    <x v="5"/>
    <x v="2"/>
    <n v="9.25"/>
    <n v="188.7"/>
    <m/>
  </r>
  <r>
    <n v="32"/>
    <s v="6- #9 DWLS"/>
    <m/>
    <n v="6"/>
    <x v="5"/>
    <x v="2"/>
    <n v="9.25"/>
    <n v="188.7"/>
    <m/>
  </r>
  <r>
    <n v="33"/>
    <s v="6- #9 DWLS"/>
    <n v="2"/>
    <n v="6"/>
    <x v="5"/>
    <x v="2"/>
    <n v="9.25"/>
    <n v="377.4"/>
    <m/>
  </r>
  <r>
    <n v="34"/>
    <s v="6- #9 DWLS"/>
    <m/>
    <n v="6"/>
    <x v="5"/>
    <x v="2"/>
    <n v="9.25"/>
    <n v="188.7"/>
    <m/>
  </r>
  <r>
    <n v="35"/>
    <s v="6- #9 DWLS"/>
    <m/>
    <n v="6"/>
    <x v="5"/>
    <x v="2"/>
    <n v="9.25"/>
    <n v="188.7"/>
    <m/>
  </r>
  <r>
    <n v="36"/>
    <s v="6- #9 DWLS"/>
    <m/>
    <n v="6"/>
    <x v="5"/>
    <x v="2"/>
    <n v="8.41"/>
    <n v="171.56400000000002"/>
    <m/>
  </r>
  <r>
    <n v="37"/>
    <s v="6- #9 DWLS"/>
    <n v="2"/>
    <n v="6"/>
    <x v="5"/>
    <x v="2"/>
    <n v="8.25"/>
    <n v="336.6"/>
    <m/>
  </r>
  <r>
    <n v="38"/>
    <s v="6- #9 DWLS"/>
    <m/>
    <n v="6"/>
    <x v="5"/>
    <x v="2"/>
    <n v="9.75"/>
    <n v="198.89999999999998"/>
    <m/>
  </r>
  <r>
    <n v="39"/>
    <s v="6- #8 DWLS"/>
    <m/>
    <n v="6"/>
    <x v="3"/>
    <x v="2"/>
    <n v="9.75"/>
    <n v="156.19499999999999"/>
    <m/>
  </r>
  <r>
    <n v="40"/>
    <s v="6- #8 DWLS"/>
    <m/>
    <n v="6"/>
    <x v="3"/>
    <x v="2"/>
    <n v="9.75"/>
    <n v="156.19499999999999"/>
    <m/>
  </r>
  <r>
    <n v="41"/>
    <s v="8- #8 DWLS"/>
    <n v="2"/>
    <n v="8"/>
    <x v="3"/>
    <x v="2"/>
    <n v="7.25"/>
    <n v="309.71999999999997"/>
    <m/>
  </r>
  <r>
    <n v="42"/>
    <s v="8- #8 DWLS"/>
    <n v="2"/>
    <n v="8"/>
    <x v="3"/>
    <x v="2"/>
    <n v="7.25"/>
    <n v="309.71999999999997"/>
    <m/>
  </r>
  <r>
    <n v="42"/>
    <s v="8- #8 DWLS"/>
    <n v="2"/>
    <n v="8"/>
    <x v="3"/>
    <x v="2"/>
    <n v="7.25"/>
    <n v="309.71999999999997"/>
    <m/>
  </r>
  <r>
    <n v="43"/>
    <s v="8- #8 DWLS"/>
    <n v="2"/>
    <n v="8"/>
    <x v="3"/>
    <x v="2"/>
    <n v="7.25"/>
    <n v="309.71999999999997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12217.400639999998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51">
  <r>
    <n v="1"/>
    <s v="SHT. NO: S-5 CONCRETE DECK REINFORCING LAYOUT PLAN"/>
    <m/>
    <m/>
    <x v="0"/>
    <x v="0"/>
    <m/>
    <n v="0"/>
    <m/>
  </r>
  <r>
    <n v="2"/>
    <s v="CONCRETE BEAMS (2ND FLR BEAMS)"/>
    <m/>
    <m/>
    <x v="0"/>
    <x v="0"/>
    <m/>
    <n v="0"/>
    <m/>
  </r>
  <r>
    <n v="3"/>
    <s v="LVL-2  BEAMS"/>
    <m/>
    <m/>
    <x v="0"/>
    <x v="0"/>
    <m/>
    <n v="0"/>
    <m/>
  </r>
  <r>
    <n v="4"/>
    <s v="B1 (10&quot;x24&quot; DP) (SEC 2/S-13)"/>
    <m/>
    <m/>
    <x v="0"/>
    <x v="0"/>
    <m/>
    <n v="0"/>
    <m/>
  </r>
  <r>
    <n v="5"/>
    <s v="4-#8 BOT"/>
    <m/>
    <n v="4"/>
    <x v="1"/>
    <x v="1"/>
    <n v="33.034999999999997"/>
    <n v="352.81379999999996"/>
    <m/>
  </r>
  <r>
    <n v="6"/>
    <s v="2-#7 TOP"/>
    <m/>
    <n v="2"/>
    <x v="2"/>
    <x v="2"/>
    <n v="35.454999999999998"/>
    <n v="144.94003999999998"/>
    <m/>
  </r>
  <r>
    <n v="7"/>
    <s v="#3 @8&quot; STIR."/>
    <m/>
    <n v="34"/>
    <x v="3"/>
    <x v="2"/>
    <n v="5.32"/>
    <n v="68.010880000000014"/>
    <m/>
  </r>
  <r>
    <n v="8"/>
    <s v="B2 (10&quot;x24&quot; DP) (SEC 2/S-13)"/>
    <m/>
    <m/>
    <x v="0"/>
    <x v="0"/>
    <m/>
    <n v="0"/>
    <m/>
  </r>
  <r>
    <n v="9"/>
    <s v="4-#9 BOT"/>
    <m/>
    <n v="4"/>
    <x v="4"/>
    <x v="1"/>
    <n v="22.75"/>
    <n v="309.39999999999998"/>
    <m/>
  </r>
  <r>
    <n v="10"/>
    <s v="4-#9 TOP"/>
    <m/>
    <n v="4"/>
    <x v="4"/>
    <x v="2"/>
    <n v="23.25"/>
    <n v="316.2"/>
    <m/>
  </r>
  <r>
    <n v="11"/>
    <s v="#3 @6&quot; STIR."/>
    <m/>
    <n v="41"/>
    <x v="3"/>
    <x v="2"/>
    <n v="5.32"/>
    <n v="82.013120000000015"/>
    <m/>
  </r>
  <r>
    <n v="12"/>
    <s v="B3 (10&quot;x30&quot; DP) (SEC 2/S-13)"/>
    <m/>
    <m/>
    <x v="0"/>
    <x v="0"/>
    <m/>
    <n v="0"/>
    <m/>
  </r>
  <r>
    <n v="13"/>
    <s v="5-#10 BOT"/>
    <n v="4"/>
    <n v="5"/>
    <x v="5"/>
    <x v="3"/>
    <n v="40"/>
    <n v="3442.4"/>
    <m/>
  </r>
  <r>
    <n v="14"/>
    <s v="&quot;"/>
    <m/>
    <n v="5"/>
    <x v="5"/>
    <x v="1"/>
    <n v="28"/>
    <n v="602.41999999999996"/>
    <m/>
  </r>
  <r>
    <n v="15"/>
    <s v="5-#10 TOP"/>
    <n v="4"/>
    <n v="5"/>
    <x v="5"/>
    <x v="3"/>
    <n v="40"/>
    <n v="3442.4"/>
    <m/>
  </r>
  <r>
    <n v="16"/>
    <s v="&quot;"/>
    <m/>
    <n v="5"/>
    <x v="5"/>
    <x v="2"/>
    <n v="39.32"/>
    <n v="845.96980000000008"/>
    <m/>
  </r>
  <r>
    <n v="17"/>
    <s v="#3 @5&quot; STIR."/>
    <m/>
    <n v="386"/>
    <x v="3"/>
    <x v="2"/>
    <n v="6.32"/>
    <n v="917.25952000000007"/>
    <m/>
  </r>
  <r>
    <n v="18"/>
    <s v="B4 (18&quot;x30&quot; DP) (SEC 14/S-13)"/>
    <m/>
    <m/>
    <x v="0"/>
    <x v="0"/>
    <m/>
    <n v="0"/>
    <m/>
  </r>
  <r>
    <n v="19"/>
    <s v="6-#11 BOT"/>
    <m/>
    <n v="6"/>
    <x v="6"/>
    <x v="1"/>
    <n v="28"/>
    <n v="892.58399999999983"/>
    <m/>
  </r>
  <r>
    <n v="20"/>
    <s v="6-#11 TOP"/>
    <m/>
    <n v="6"/>
    <x v="6"/>
    <x v="2"/>
    <n v="32.32"/>
    <n v="1030.2969600000001"/>
    <m/>
  </r>
  <r>
    <n v="21"/>
    <s v="#4 @6&quot; STIR."/>
    <m/>
    <n v="55"/>
    <x v="7"/>
    <x v="2"/>
    <n v="7.75"/>
    <n v="284.73500000000001"/>
    <m/>
  </r>
  <r>
    <n v="22"/>
    <s v="B4A (36&quot;x30&quot; DP) (SEC 2/S-13)"/>
    <m/>
    <m/>
    <x v="0"/>
    <x v="0"/>
    <m/>
    <n v="0"/>
    <m/>
  </r>
  <r>
    <n v="23"/>
    <s v="10-#11 BOT"/>
    <m/>
    <n v="10"/>
    <x v="6"/>
    <x v="1"/>
    <n v="31"/>
    <n v="1647.03"/>
    <m/>
  </r>
  <r>
    <n v="24"/>
    <s v="5-#10 TOP"/>
    <m/>
    <n v="5"/>
    <x v="5"/>
    <x v="2"/>
    <n v="37.375"/>
    <n v="804.12312499999996"/>
    <m/>
  </r>
  <r>
    <n v="25"/>
    <s v="#4 @6&quot; STIR."/>
    <m/>
    <n v="62"/>
    <x v="7"/>
    <x v="2"/>
    <n v="10.75"/>
    <n v="445.22199999999998"/>
    <m/>
  </r>
  <r>
    <n v="26"/>
    <s v="CMU DWLS (SEC 8/S-13) @2ND FLR BEAMS"/>
    <m/>
    <m/>
    <x v="0"/>
    <x v="0"/>
    <m/>
    <n v="0"/>
    <m/>
  </r>
  <r>
    <n v="27"/>
    <s v="#5 @16&quot; CMU DWLS"/>
    <m/>
    <n v="25"/>
    <x v="8"/>
    <x v="1"/>
    <n v="4.5"/>
    <n v="117.33749999999998"/>
    <m/>
  </r>
  <r>
    <n v="28"/>
    <s v="CMU DWLS (SEC 2/S-13)"/>
    <m/>
    <m/>
    <x v="0"/>
    <x v="0"/>
    <m/>
    <n v="0"/>
    <m/>
  </r>
  <r>
    <n v="29"/>
    <s v="#5 @16&quot; CMU DWLS"/>
    <m/>
    <n v="155"/>
    <x v="8"/>
    <x v="1"/>
    <n v="7"/>
    <n v="1131.655"/>
    <m/>
  </r>
  <r>
    <n v="30"/>
    <m/>
    <m/>
    <m/>
    <x v="0"/>
    <x v="0"/>
    <m/>
    <n v="0"/>
    <m/>
  </r>
  <r>
    <n v="31"/>
    <m/>
    <m/>
    <m/>
    <x v="0"/>
    <x v="0"/>
    <m/>
    <n v="0"/>
    <m/>
  </r>
  <r>
    <n v="32"/>
    <m/>
    <m/>
    <m/>
    <x v="0"/>
    <x v="0"/>
    <m/>
    <n v="0"/>
    <m/>
  </r>
  <r>
    <n v="33"/>
    <m/>
    <m/>
    <m/>
    <x v="0"/>
    <x v="0"/>
    <m/>
    <n v="0"/>
    <m/>
  </r>
  <r>
    <n v="34"/>
    <m/>
    <m/>
    <m/>
    <x v="0"/>
    <x v="0"/>
    <m/>
    <n v="0"/>
    <m/>
  </r>
  <r>
    <n v="35"/>
    <m/>
    <m/>
    <m/>
    <x v="0"/>
    <x v="0"/>
    <m/>
    <n v="0"/>
    <m/>
  </r>
  <r>
    <n v="36"/>
    <m/>
    <m/>
    <m/>
    <x v="0"/>
    <x v="0"/>
    <m/>
    <n v="0"/>
    <m/>
  </r>
  <r>
    <n v="37"/>
    <m/>
    <m/>
    <m/>
    <x v="0"/>
    <x v="0"/>
    <m/>
    <n v="0"/>
    <m/>
  </r>
  <r>
    <n v="38"/>
    <m/>
    <m/>
    <m/>
    <x v="0"/>
    <x v="0"/>
    <m/>
    <n v="0"/>
    <m/>
  </r>
  <r>
    <n v="39"/>
    <m/>
    <m/>
    <m/>
    <x v="0"/>
    <x v="0"/>
    <m/>
    <n v="0"/>
    <m/>
  </r>
  <r>
    <n v="40"/>
    <m/>
    <m/>
    <m/>
    <x v="0"/>
    <x v="0"/>
    <m/>
    <n v="0"/>
    <m/>
  </r>
  <r>
    <n v="41"/>
    <m/>
    <m/>
    <m/>
    <x v="0"/>
    <x v="0"/>
    <m/>
    <n v="0"/>
    <m/>
  </r>
  <r>
    <n v="42"/>
    <m/>
    <m/>
    <m/>
    <x v="0"/>
    <x v="0"/>
    <m/>
    <n v="0"/>
    <m/>
  </r>
  <r>
    <n v="43"/>
    <m/>
    <m/>
    <m/>
    <x v="0"/>
    <x v="0"/>
    <m/>
    <n v="0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16876.810744999999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401">
  <r>
    <n v="1"/>
    <s v="SHT NO:S-5A 2ND FLR CONC DECK REINF LAYOUT PLAN"/>
    <m/>
    <m/>
    <x v="0"/>
    <x v="0"/>
    <m/>
    <n v="0"/>
    <m/>
  </r>
  <r>
    <n v="2"/>
    <s v="13&quot;THK CONC DECK (E-W)"/>
    <m/>
    <m/>
    <x v="0"/>
    <x v="0"/>
    <m/>
    <n v="0"/>
    <m/>
  </r>
  <r>
    <n v="3"/>
    <s v="BOT BARS"/>
    <m/>
    <m/>
    <x v="0"/>
    <x v="0"/>
    <m/>
    <n v="0"/>
    <m/>
  </r>
  <r>
    <n v="4"/>
    <s v="EDGE STRIP (GRID 1-F)"/>
    <m/>
    <m/>
    <x v="0"/>
    <x v="0"/>
    <m/>
    <n v="0"/>
    <m/>
  </r>
  <r>
    <n v="5"/>
    <s v="#9 @12&quot; BOT LW"/>
    <m/>
    <n v="5"/>
    <x v="1"/>
    <x v="1"/>
    <n v="27.587000000000003"/>
    <n v="468.97900000000004"/>
    <m/>
  </r>
  <r>
    <n v="6"/>
    <s v="#5 @12&quot; BOT LW"/>
    <m/>
    <n v="5"/>
    <x v="2"/>
    <x v="1"/>
    <n v="13"/>
    <n v="67.795000000000002"/>
    <m/>
  </r>
  <r>
    <n v="7"/>
    <s v="#8 @12&quot; BOT LW"/>
    <m/>
    <n v="6"/>
    <x v="3"/>
    <x v="1"/>
    <n v="31.83"/>
    <n v="509.91659999999996"/>
    <m/>
  </r>
  <r>
    <n v="8"/>
    <s v="#6 @10&quot; BOT LW"/>
    <m/>
    <n v="7"/>
    <x v="4"/>
    <x v="1"/>
    <n v="30.167000000000002"/>
    <n v="317.175838"/>
    <m/>
  </r>
  <r>
    <n v="9"/>
    <s v="#7 @12&quot; BOT LW"/>
    <m/>
    <n v="6"/>
    <x v="5"/>
    <x v="1"/>
    <n v="30.497"/>
    <n v="374.01520799999997"/>
    <m/>
  </r>
  <r>
    <n v="10"/>
    <s v="#7 @12&quot; BOT LW"/>
    <m/>
    <n v="6"/>
    <x v="5"/>
    <x v="1"/>
    <n v="31.25"/>
    <n v="383.25"/>
    <m/>
  </r>
  <r>
    <n v="11"/>
    <s v="MIDDLE STRIP (GRID E.3)"/>
    <m/>
    <m/>
    <x v="0"/>
    <x v="0"/>
    <m/>
    <n v="0"/>
    <m/>
  </r>
  <r>
    <n v="12"/>
    <s v="#8 @12&quot; BOT LW"/>
    <m/>
    <n v="8"/>
    <x v="3"/>
    <x v="1"/>
    <n v="26.747"/>
    <n v="571.31592000000001"/>
    <m/>
  </r>
  <r>
    <n v="13"/>
    <s v="#5 @12&quot; BOT LW"/>
    <m/>
    <n v="9"/>
    <x v="2"/>
    <x v="1"/>
    <n v="13.83"/>
    <n v="129.82220999999998"/>
    <m/>
  </r>
  <r>
    <n v="14"/>
    <s v="#7 @12&quot; BOT LW"/>
    <m/>
    <n v="10"/>
    <x v="5"/>
    <x v="1"/>
    <n v="30"/>
    <n v="613.20000000000005"/>
    <m/>
  </r>
  <r>
    <n v="15"/>
    <s v="#5 @12&quot; BOT LW"/>
    <m/>
    <n v="10"/>
    <x v="2"/>
    <x v="1"/>
    <n v="29.167000000000002"/>
    <n v="304.21181000000001"/>
    <m/>
  </r>
  <r>
    <n v="16"/>
    <s v="#6 @12&quot; BOT LW"/>
    <m/>
    <n v="10"/>
    <x v="4"/>
    <x v="1"/>
    <n v="29.25"/>
    <n v="439.33500000000004"/>
    <m/>
  </r>
  <r>
    <n v="17"/>
    <s v="#8 @12&quot; BOT LW"/>
    <m/>
    <n v="10"/>
    <x v="3"/>
    <x v="1"/>
    <n v="29.337000000000003"/>
    <n v="783.29790000000003"/>
    <m/>
  </r>
  <r>
    <n v="18"/>
    <s v="COLUMN STRIP "/>
    <m/>
    <m/>
    <x v="0"/>
    <x v="0"/>
    <m/>
    <n v="0"/>
    <m/>
  </r>
  <r>
    <n v="19"/>
    <s v="#9 @10&quot; BOT LW"/>
    <m/>
    <n v="14"/>
    <x v="1"/>
    <x v="1"/>
    <n v="27.417000000000002"/>
    <n v="1305.0491999999999"/>
    <m/>
  </r>
  <r>
    <n v="20"/>
    <s v="#5 @12&quot; BOT LW"/>
    <m/>
    <n v="12"/>
    <x v="2"/>
    <x v="1"/>
    <n v="14.08"/>
    <n v="176.22528"/>
    <m/>
  </r>
  <r>
    <n v="21"/>
    <s v="#8 @12&quot; BOT LW"/>
    <m/>
    <n v="13"/>
    <x v="3"/>
    <x v="1"/>
    <n v="32.58"/>
    <n v="1130.8517999999999"/>
    <m/>
  </r>
  <r>
    <n v="22"/>
    <s v="#6 @10&quot; BOT LW"/>
    <m/>
    <n v="16"/>
    <x v="4"/>
    <x v="1"/>
    <n v="30.167000000000002"/>
    <n v="724.973344"/>
    <m/>
  </r>
  <r>
    <n v="23"/>
    <s v="#7 @12&quot; BOT LW"/>
    <m/>
    <n v="13"/>
    <x v="5"/>
    <x v="1"/>
    <n v="30.58"/>
    <n v="812.57175999999993"/>
    <m/>
  </r>
  <r>
    <n v="24"/>
    <s v="#7 @12&quot; BOT LW"/>
    <m/>
    <n v="13"/>
    <x v="5"/>
    <x v="1"/>
    <n v="31.159999999999997"/>
    <n v="827.98351999999988"/>
    <m/>
  </r>
  <r>
    <n v="25"/>
    <s v="#7 @12&quot; BOT LW"/>
    <m/>
    <n v="14"/>
    <x v="5"/>
    <x v="1"/>
    <n v="31.159999999999997"/>
    <n v="891.67455999999993"/>
    <m/>
  </r>
  <r>
    <n v="26"/>
    <s v="MIDDLE STRIP"/>
    <m/>
    <m/>
    <x v="0"/>
    <x v="0"/>
    <m/>
    <n v="0"/>
    <m/>
  </r>
  <r>
    <n v="27"/>
    <s v="#8 @12&quot; BOT LW"/>
    <m/>
    <n v="17"/>
    <x v="3"/>
    <x v="1"/>
    <n v="28.75"/>
    <n v="1304.9625000000001"/>
    <m/>
  </r>
  <r>
    <n v="28"/>
    <s v="#6 @12&quot; BOT LW"/>
    <m/>
    <n v="15"/>
    <x v="4"/>
    <x v="1"/>
    <n v="12.33"/>
    <n v="277.79490000000004"/>
    <m/>
  </r>
  <r>
    <n v="29"/>
    <s v="#8 @10&quot; BOT LW"/>
    <m/>
    <n v="18"/>
    <x v="3"/>
    <x v="1"/>
    <n v="33.08"/>
    <n v="1589.8247999999999"/>
    <m/>
  </r>
  <r>
    <n v="30"/>
    <s v="#5 @12&quot; BOT LW"/>
    <m/>
    <n v="16"/>
    <x v="2"/>
    <x v="1"/>
    <n v="25.83"/>
    <n v="431.05103999999994"/>
    <m/>
  </r>
  <r>
    <n v="31"/>
    <s v="#7 @12&quot; BOT LW"/>
    <m/>
    <n v="16"/>
    <x v="5"/>
    <x v="1"/>
    <n v="29.5"/>
    <n v="964.76800000000003"/>
    <m/>
  </r>
  <r>
    <n v="32"/>
    <s v="#6 @12&quot; BOT LW"/>
    <m/>
    <n v="16"/>
    <x v="4"/>
    <x v="1"/>
    <n v="30.25"/>
    <n v="726.96799999999996"/>
    <m/>
  </r>
  <r>
    <n v="33"/>
    <s v="#6 @12&quot; BOT LW"/>
    <m/>
    <n v="16"/>
    <x v="4"/>
    <x v="1"/>
    <n v="15"/>
    <n v="360.48"/>
    <m/>
  </r>
  <r>
    <n v="34"/>
    <s v="COLUMN STRIP "/>
    <m/>
    <m/>
    <x v="0"/>
    <x v="0"/>
    <m/>
    <n v="0"/>
    <m/>
  </r>
  <r>
    <n v="35"/>
    <s v="#9 @10&quot; BOT LW"/>
    <m/>
    <n v="15"/>
    <x v="1"/>
    <x v="1"/>
    <n v="31.337000000000003"/>
    <n v="1598.1870000000001"/>
    <m/>
  </r>
  <r>
    <n v="36"/>
    <s v="#5 @12&quot; BOT LW"/>
    <m/>
    <n v="8"/>
    <x v="2"/>
    <x v="1"/>
    <n v="12.5"/>
    <n v="104.3"/>
    <m/>
  </r>
  <r>
    <n v="37"/>
    <s v="#9 @9&quot; BOT LW"/>
    <m/>
    <n v="17"/>
    <x v="1"/>
    <x v="1"/>
    <n v="35.912999999999997"/>
    <n v="2075.7713999999996"/>
    <m/>
  </r>
  <r>
    <n v="38"/>
    <s v="#5 @12&quot; BOT LW"/>
    <m/>
    <n v="13"/>
    <x v="2"/>
    <x v="1"/>
    <n v="23.25"/>
    <n v="315.24674999999996"/>
    <m/>
  </r>
  <r>
    <n v="39"/>
    <s v="#8 @12&quot; BOT LW"/>
    <m/>
    <n v="13"/>
    <x v="3"/>
    <x v="1"/>
    <n v="31.412999999999997"/>
    <n v="1090.3452299999999"/>
    <m/>
  </r>
  <r>
    <n v="40"/>
    <s v="#7 @12&quot; BOT LW"/>
    <m/>
    <n v="13"/>
    <x v="5"/>
    <x v="1"/>
    <n v="31.83"/>
    <n v="845.78675999999996"/>
    <m/>
  </r>
  <r>
    <n v="41"/>
    <s v="#6 @10&quot; BOT LW"/>
    <m/>
    <n v="15"/>
    <x v="4"/>
    <x v="1"/>
    <n v="15.337"/>
    <n v="345.54260999999997"/>
    <m/>
  </r>
  <r>
    <n v="42"/>
    <s v="MIDDLE STRIP"/>
    <m/>
    <m/>
    <x v="0"/>
    <x v="0"/>
    <m/>
    <n v="0"/>
    <m/>
  </r>
  <r>
    <n v="43"/>
    <s v="#8 @10&quot; BOT LW"/>
    <m/>
    <n v="13"/>
    <x v="3"/>
    <x v="1"/>
    <n v="33"/>
    <n v="1145.43"/>
    <m/>
  </r>
  <r>
    <n v="44"/>
    <s v="#5 @12&quot; BOT LW"/>
    <m/>
    <n v="10"/>
    <x v="2"/>
    <x v="1"/>
    <n v="20.67"/>
    <n v="215.5881"/>
    <m/>
  </r>
  <r>
    <n v="45"/>
    <s v="#6 @10&quot; BOT LW"/>
    <m/>
    <n v="12"/>
    <x v="4"/>
    <x v="1"/>
    <n v="29.42"/>
    <n v="530.2660800000001"/>
    <m/>
  </r>
  <r>
    <n v="46"/>
    <s v="#9 @10&quot; BOT LW"/>
    <m/>
    <n v="12"/>
    <x v="1"/>
    <x v="1"/>
    <n v="21.75"/>
    <n v="887.40000000000009"/>
    <m/>
  </r>
  <r>
    <n v="47"/>
    <s v="#5 @12&quot; BOT LW"/>
    <m/>
    <n v="5"/>
    <x v="2"/>
    <x v="1"/>
    <n v="7.1639999999999997"/>
    <n v="37.360259999999997"/>
    <m/>
  </r>
  <r>
    <n v="48"/>
    <s v="#5 @12&quot; BOT LW"/>
    <m/>
    <n v="6"/>
    <x v="2"/>
    <x v="1"/>
    <n v="19.5"/>
    <n v="122.03100000000001"/>
    <m/>
  </r>
  <r>
    <n v="49"/>
    <s v="COLUMN STRIP "/>
    <m/>
    <m/>
    <x v="0"/>
    <x v="0"/>
    <m/>
    <n v="0"/>
    <m/>
  </r>
  <r>
    <n v="50"/>
    <s v="#9 @12&quot; BOT LW"/>
    <m/>
    <n v="6"/>
    <x v="1"/>
    <x v="1"/>
    <n v="34.167000000000002"/>
    <n v="697.0068"/>
    <m/>
  </r>
  <r>
    <n v="51"/>
    <s v="#6 @12&quot; BOTLW"/>
    <m/>
    <n v="6"/>
    <x v="4"/>
    <x v="1"/>
    <n v="21.83"/>
    <n v="196.73196000000002"/>
    <m/>
  </r>
  <r>
    <n v="52"/>
    <s v="3#6 BOT LW"/>
    <m/>
    <n v="3"/>
    <x v="4"/>
    <x v="1"/>
    <n v="30.082999999999998"/>
    <n v="135.55399800000001"/>
    <m/>
  </r>
  <r>
    <n v="53"/>
    <s v="3#7 BOT LW"/>
    <m/>
    <n v="3"/>
    <x v="5"/>
    <x v="1"/>
    <n v="30.412999999999997"/>
    <n v="186.49251599999997"/>
    <m/>
  </r>
  <r>
    <n v="54"/>
    <s v="#8 @10&quot; BOT LW"/>
    <m/>
    <n v="5"/>
    <x v="3"/>
    <x v="1"/>
    <n v="23.340000000000003"/>
    <n v="311.58900000000006"/>
    <m/>
  </r>
  <r>
    <n v="55"/>
    <s v="#8 @10&quot; BOT LW"/>
    <m/>
    <n v="9"/>
    <x v="3"/>
    <x v="1"/>
    <n v="32.659999999999997"/>
    <n v="784.81979999999987"/>
    <m/>
  </r>
  <r>
    <n v="56"/>
    <s v="#6 @12&quot; BOT LW"/>
    <m/>
    <n v="10"/>
    <x v="4"/>
    <x v="1"/>
    <n v="15"/>
    <n v="225.3"/>
    <m/>
  </r>
  <r>
    <n v="57"/>
    <s v="MIDDLE STRIP"/>
    <m/>
    <m/>
    <x v="0"/>
    <x v="0"/>
    <m/>
    <n v="0"/>
    <m/>
  </r>
  <r>
    <n v="58"/>
    <s v="#8 @10&quot; BOT LW"/>
    <m/>
    <n v="12"/>
    <x v="3"/>
    <x v="1"/>
    <n v="32.167000000000002"/>
    <n v="1030.63068"/>
    <m/>
  </r>
  <r>
    <n v="59"/>
    <s v="#5 @12&quot; BOT LW"/>
    <m/>
    <n v="11"/>
    <x v="2"/>
    <x v="1"/>
    <n v="21.67"/>
    <n v="248.61991"/>
    <m/>
  </r>
  <r>
    <n v="60"/>
    <s v="#5 @12&quot; BOT LW"/>
    <m/>
    <n v="11"/>
    <x v="2"/>
    <x v="1"/>
    <n v="28.42"/>
    <n v="326.06265999999999"/>
    <m/>
  </r>
  <r>
    <n v="61"/>
    <s v="#7 @10&quot; BOT LW"/>
    <m/>
    <n v="14"/>
    <x v="5"/>
    <x v="1"/>
    <n v="31.5"/>
    <n v="901.404"/>
    <m/>
  </r>
  <r>
    <n v="62"/>
    <s v="#5 @12&quot; BOT LW"/>
    <m/>
    <n v="14"/>
    <x v="2"/>
    <x v="1"/>
    <n v="14.087"/>
    <n v="205.69837399999997"/>
    <m/>
  </r>
  <r>
    <n v="63"/>
    <s v="4-#9 BOT ADDLS"/>
    <m/>
    <n v="4"/>
    <x v="1"/>
    <x v="1"/>
    <n v="23.83"/>
    <n v="324.08799999999997"/>
    <m/>
  </r>
  <r>
    <n v="64"/>
    <s v="3-#8 BOT ADDLS"/>
    <m/>
    <n v="3"/>
    <x v="3"/>
    <x v="1"/>
    <n v="23.67"/>
    <n v="189.5967"/>
    <m/>
  </r>
  <r>
    <n v="65"/>
    <s v="COLUMN STRIP "/>
    <m/>
    <m/>
    <x v="0"/>
    <x v="0"/>
    <m/>
    <n v="0"/>
    <m/>
  </r>
  <r>
    <n v="66"/>
    <s v="#5 @12&quot; BOT LW"/>
    <m/>
    <n v="28"/>
    <x v="2"/>
    <x v="1"/>
    <n v="29.75"/>
    <n v="868.81899999999996"/>
    <m/>
  </r>
  <r>
    <n v="67"/>
    <s v="#7 @12&quot; BOT LW"/>
    <m/>
    <n v="8"/>
    <x v="5"/>
    <x v="1"/>
    <n v="19.090000000000003"/>
    <n v="312.15968000000004"/>
    <m/>
  </r>
  <r>
    <n v="68"/>
    <s v="#6 @12&quot; BOT LW"/>
    <m/>
    <n v="8"/>
    <x v="4"/>
    <x v="1"/>
    <n v="22.082999999999998"/>
    <n v="265.34932799999996"/>
    <m/>
  </r>
  <r>
    <n v="69"/>
    <s v="#6 @12&quot; BOT LW"/>
    <m/>
    <n v="4"/>
    <x v="4"/>
    <x v="1"/>
    <n v="7.33"/>
    <n v="44.038640000000001"/>
    <m/>
  </r>
  <r>
    <n v="70"/>
    <s v="#8 @10&quot; BOT LW"/>
    <m/>
    <n v="14"/>
    <x v="3"/>
    <x v="1"/>
    <n v="30.75"/>
    <n v="1149.4349999999999"/>
    <m/>
  </r>
  <r>
    <n v="71"/>
    <s v="#7 @12&quot; BOT LW"/>
    <m/>
    <n v="12"/>
    <x v="5"/>
    <x v="1"/>
    <n v="22.837000000000003"/>
    <n v="560.14593600000012"/>
    <m/>
  </r>
  <r>
    <n v="72"/>
    <s v="#8 @12&quot; BOT LW"/>
    <m/>
    <n v="12"/>
    <x v="3"/>
    <x v="1"/>
    <n v="24.92"/>
    <n v="798.43679999999995"/>
    <m/>
  </r>
  <r>
    <n v="73"/>
    <s v="#9 @10&quot; BOT LW"/>
    <m/>
    <n v="15"/>
    <x v="1"/>
    <x v="1"/>
    <n v="35.082999999999998"/>
    <n v="1789.2329999999997"/>
    <m/>
  </r>
  <r>
    <n v="74"/>
    <s v="#6 @10&quot; BOT LW"/>
    <m/>
    <n v="15"/>
    <x v="4"/>
    <x v="1"/>
    <n v="14.084"/>
    <n v="317.31251999999995"/>
    <m/>
  </r>
  <r>
    <n v="75"/>
    <s v="4-#9 BOT ADDLS"/>
    <m/>
    <n v="4"/>
    <x v="1"/>
    <x v="1"/>
    <n v="11.167"/>
    <n v="151.87119999999999"/>
    <m/>
  </r>
  <r>
    <n v="76"/>
    <s v="3-#8 BOT ADDLS"/>
    <m/>
    <n v="3"/>
    <x v="3"/>
    <x v="1"/>
    <n v="23.582999999999998"/>
    <n v="188.89982999999998"/>
    <m/>
  </r>
  <r>
    <n v="77"/>
    <s v="MIDDLE STRIP"/>
    <m/>
    <m/>
    <x v="0"/>
    <x v="0"/>
    <m/>
    <n v="0"/>
    <m/>
  </r>
  <r>
    <n v="78"/>
    <s v="#5 @10&quot; BOT LW"/>
    <m/>
    <n v="18"/>
    <x v="2"/>
    <x v="1"/>
    <n v="18.337000000000003"/>
    <n v="344.25883800000008"/>
    <m/>
  </r>
  <r>
    <n v="79"/>
    <s v="#5 @12&quot; BOT LW"/>
    <m/>
    <n v="15"/>
    <x v="2"/>
    <x v="1"/>
    <n v="21.082999999999998"/>
    <n v="329.84353499999992"/>
    <m/>
  </r>
  <r>
    <n v="80"/>
    <s v="#7 @10&quot; BOT LW"/>
    <m/>
    <n v="17"/>
    <x v="5"/>
    <x v="1"/>
    <n v="31.167000000000002"/>
    <n v="1082.9909160000002"/>
    <m/>
  </r>
  <r>
    <n v="81"/>
    <s v="#5 @12&quot; BOT LW"/>
    <m/>
    <n v="13"/>
    <x v="2"/>
    <x v="1"/>
    <n v="27"/>
    <n v="366.09299999999996"/>
    <m/>
  </r>
  <r>
    <n v="82"/>
    <s v="#5 @12&quot; BOT LW"/>
    <m/>
    <n v="13"/>
    <x v="2"/>
    <x v="1"/>
    <n v="23.5"/>
    <n v="318.63649999999996"/>
    <m/>
  </r>
  <r>
    <n v="83"/>
    <s v="#7 @12&quot; BOT LW"/>
    <m/>
    <n v="13"/>
    <x v="5"/>
    <x v="1"/>
    <n v="33.912999999999997"/>
    <n v="901.13623599999983"/>
    <m/>
  </r>
  <r>
    <n v="84"/>
    <s v="#5 @12&quot; BOT LW"/>
    <m/>
    <n v="13"/>
    <x v="2"/>
    <x v="1"/>
    <n v="13.587"/>
    <n v="184.22613299999998"/>
    <m/>
  </r>
  <r>
    <n v="85"/>
    <s v="EDGE STRIP (GRID 1-A)"/>
    <m/>
    <m/>
    <x v="0"/>
    <x v="0"/>
    <m/>
    <n v="0"/>
    <m/>
  </r>
  <r>
    <n v="86"/>
    <s v="#7 @12&quot; BOT LW"/>
    <m/>
    <n v="8"/>
    <x v="5"/>
    <x v="1"/>
    <n v="19.414000000000001"/>
    <n v="317.45772800000003"/>
    <m/>
  </r>
  <r>
    <n v="87"/>
    <s v="#5 @10&quot; BOT LW"/>
    <m/>
    <n v="10"/>
    <x v="2"/>
    <x v="1"/>
    <n v="22.412999999999997"/>
    <n v="233.76758999999996"/>
    <m/>
  </r>
  <r>
    <n v="88"/>
    <s v="#8 @10&quot; BOT LW"/>
    <m/>
    <n v="9"/>
    <x v="3"/>
    <x v="1"/>
    <n v="32.997"/>
    <n v="792.91791000000001"/>
    <m/>
  </r>
  <r>
    <n v="89"/>
    <s v="#6 @12&quot; BOT LW"/>
    <m/>
    <n v="7"/>
    <x v="4"/>
    <x v="1"/>
    <n v="28"/>
    <n v="294.392"/>
    <m/>
  </r>
  <r>
    <n v="90"/>
    <s v="#5 @12&quot; BOT LW"/>
    <m/>
    <n v="7"/>
    <x v="2"/>
    <x v="1"/>
    <n v="24.25"/>
    <n v="177.04924999999997"/>
    <m/>
  </r>
  <r>
    <n v="91"/>
    <s v="#5 @12&quot; BOT LW"/>
    <m/>
    <n v="7"/>
    <x v="2"/>
    <x v="1"/>
    <n v="33.412999999999997"/>
    <n v="243.94831299999993"/>
    <m/>
  </r>
  <r>
    <n v="92"/>
    <s v="#6 @12&quot; BOT LW"/>
    <m/>
    <n v="7"/>
    <x v="4"/>
    <x v="1"/>
    <n v="13.167"/>
    <n v="138.437838"/>
    <m/>
  </r>
  <r>
    <n v="93"/>
    <s v="TOP BARS"/>
    <m/>
    <m/>
    <x v="0"/>
    <x v="0"/>
    <m/>
    <n v="0"/>
    <m/>
  </r>
  <r>
    <n v="94"/>
    <s v="EDGE STRIP (GRID 1-F)"/>
    <m/>
    <m/>
    <x v="0"/>
    <x v="0"/>
    <m/>
    <n v="0"/>
    <m/>
  </r>
  <r>
    <n v="95"/>
    <s v="#5 @12&quot; TOP  LW"/>
    <m/>
    <n v="5"/>
    <x v="2"/>
    <x v="1"/>
    <n v="9.1290499999999994"/>
    <n v="47.607995749999994"/>
    <m/>
  </r>
  <r>
    <n v="96"/>
    <s v="#7 @12&quot; TOP  LW"/>
    <m/>
    <n v="5"/>
    <x v="5"/>
    <x v="1"/>
    <n v="18.258099999999999"/>
    <n v="186.597782"/>
    <m/>
  </r>
  <r>
    <n v="97"/>
    <s v="#7 @12&quot; TOP  LW"/>
    <m/>
    <n v="5"/>
    <x v="5"/>
    <x v="1"/>
    <n v="20.358099999999997"/>
    <n v="208.05978199999998"/>
    <m/>
  </r>
  <r>
    <n v="98"/>
    <s v="#7 @12&quot; TOP LW"/>
    <m/>
    <n v="6"/>
    <x v="5"/>
    <x v="1"/>
    <n v="20.358099999999997"/>
    <n v="249.67173839999998"/>
    <m/>
  </r>
  <r>
    <n v="99"/>
    <s v="#6 @12&quot; TOP  LW"/>
    <m/>
    <n v="6"/>
    <x v="4"/>
    <x v="1"/>
    <n v="20.358099999999997"/>
    <n v="183.46719719999999"/>
    <m/>
  </r>
  <r>
    <n v="100"/>
    <s v="#9 @6&quot; TOP  LW"/>
    <m/>
    <n v="10"/>
    <x v="1"/>
    <x v="1"/>
    <n v="20.474999999999998"/>
    <n v="696.15"/>
    <m/>
  </r>
  <r>
    <n v="101"/>
    <s v="#6 @12&quot; TOP  LW"/>
    <m/>
    <n v="6"/>
    <x v="4"/>
    <x v="1"/>
    <n v="10.122"/>
    <n v="91.219464000000002"/>
    <m/>
  </r>
  <r>
    <n v="102"/>
    <s v="MIDDLE STRIP"/>
    <m/>
    <m/>
    <x v="0"/>
    <x v="0"/>
    <m/>
    <n v="0"/>
    <m/>
  </r>
  <r>
    <n v="103"/>
    <s v="#5 @12&quot; TOP  LW"/>
    <m/>
    <n v="8"/>
    <x v="2"/>
    <x v="1"/>
    <n v="6.5"/>
    <n v="54.235999999999997"/>
    <m/>
  </r>
  <r>
    <n v="104"/>
    <s v="#7 @12&quot; TOP  LW"/>
    <m/>
    <n v="9"/>
    <x v="5"/>
    <x v="1"/>
    <n v="13"/>
    <n v="239.148"/>
    <m/>
  </r>
  <r>
    <n v="105"/>
    <s v="#7 @12&quot; TOP  LW"/>
    <m/>
    <n v="10"/>
    <x v="5"/>
    <x v="1"/>
    <n v="14.541499999999999"/>
    <n v="297.22825999999998"/>
    <m/>
  </r>
  <r>
    <n v="106"/>
    <s v="#7 @12&quot; TOP  LW"/>
    <m/>
    <n v="10"/>
    <x v="5"/>
    <x v="1"/>
    <n v="14.541499999999999"/>
    <n v="297.22825999999998"/>
    <m/>
  </r>
  <r>
    <n v="107"/>
    <s v="#6 @10&quot; TOP LW"/>
    <m/>
    <n v="12"/>
    <x v="4"/>
    <x v="1"/>
    <n v="14.125"/>
    <n v="254.589"/>
    <m/>
  </r>
  <r>
    <n v="108"/>
    <s v="#8 @10&quot; TOP  LW"/>
    <m/>
    <n v="12"/>
    <x v="3"/>
    <x v="1"/>
    <n v="14.46"/>
    <n v="463.29840000000002"/>
    <m/>
  </r>
  <r>
    <n v="109"/>
    <s v="#5 @12&quot; TOP LW"/>
    <m/>
    <n v="10"/>
    <x v="2"/>
    <x v="1"/>
    <n v="14.46"/>
    <n v="150.81780000000001"/>
    <m/>
  </r>
  <r>
    <n v="110"/>
    <s v="COLUMN STRIP "/>
    <m/>
    <m/>
    <x v="0"/>
    <x v="0"/>
    <m/>
    <n v="0"/>
    <m/>
  </r>
  <r>
    <n v="111"/>
    <s v="#5 @12&quot; TOP  LW"/>
    <m/>
    <n v="12"/>
    <x v="2"/>
    <x v="1"/>
    <n v="9.2794999999999987"/>
    <n v="116.14222199999998"/>
    <m/>
  </r>
  <r>
    <n v="112"/>
    <s v="#10 @6&quot; TOP  LW"/>
    <m/>
    <n v="23"/>
    <x v="6"/>
    <x v="1"/>
    <n v="31.92"/>
    <n v="3159.0904800000003"/>
    <m/>
  </r>
  <r>
    <n v="113"/>
    <s v="#9 @9&quot; TOP LW"/>
    <m/>
    <n v="17"/>
    <x v="1"/>
    <x v="1"/>
    <n v="21.408099999999997"/>
    <n v="1237.3881799999999"/>
    <m/>
  </r>
  <r>
    <n v="114"/>
    <s v="#9 @10&quot; TOP  LW"/>
    <m/>
    <n v="16"/>
    <x v="1"/>
    <x v="1"/>
    <n v="19.830999999999996"/>
    <n v="1078.8063999999997"/>
    <m/>
  </r>
  <r>
    <n v="115"/>
    <s v="#9 @10&quot; TOP  LW"/>
    <m/>
    <n v="16"/>
    <x v="1"/>
    <x v="1"/>
    <n v="20.299999999999997"/>
    <n v="1104.3199999999997"/>
    <m/>
  </r>
  <r>
    <n v="116"/>
    <s v="#9 @12&quot; TOP  LW"/>
    <m/>
    <n v="13"/>
    <x v="1"/>
    <x v="1"/>
    <n v="20.299999999999997"/>
    <n v="897.25999999999976"/>
    <m/>
  </r>
  <r>
    <n v="117"/>
    <s v="#8 @12&quot; TOP  LW"/>
    <m/>
    <n v="13"/>
    <x v="3"/>
    <x v="1"/>
    <n v="22.917000000000002"/>
    <n v="795.44907000000012"/>
    <m/>
  </r>
  <r>
    <n v="118"/>
    <s v="MIDDLE STRIP"/>
    <m/>
    <m/>
    <x v="0"/>
    <x v="0"/>
    <m/>
    <n v="0"/>
    <m/>
  </r>
  <r>
    <n v="119"/>
    <s v="#5 @12&quot; TOP  LW"/>
    <m/>
    <n v="17"/>
    <x v="2"/>
    <x v="1"/>
    <n v="7.2720000000000002"/>
    <n v="128.939832"/>
    <m/>
  </r>
  <r>
    <n v="120"/>
    <s v="#7 @12&quot; TOP  LW"/>
    <m/>
    <n v="15"/>
    <x v="5"/>
    <x v="1"/>
    <n v="14.71"/>
    <n v="451.0086"/>
    <m/>
  </r>
  <r>
    <n v="121"/>
    <s v="#7 @12&quot; TOP  LW"/>
    <m/>
    <n v="15"/>
    <x v="5"/>
    <x v="1"/>
    <n v="15.291499999999999"/>
    <n v="468.83738999999997"/>
    <m/>
  </r>
  <r>
    <n v="122"/>
    <s v="#8 @12&quot; TOP  LW"/>
    <m/>
    <n v="16"/>
    <x v="3"/>
    <x v="1"/>
    <n v="38.67"/>
    <n v="1651.9824000000001"/>
    <m/>
  </r>
  <r>
    <n v="123"/>
    <s v="#7 @12&quot; TOP  LW"/>
    <m/>
    <n v="16"/>
    <x v="5"/>
    <x v="1"/>
    <n v="14.5"/>
    <n v="474.20800000000003"/>
    <m/>
  </r>
  <r>
    <n v="124"/>
    <s v="#7 @12&quot; TOP  LW"/>
    <m/>
    <n v="16"/>
    <x v="5"/>
    <x v="1"/>
    <n v="19.667000000000002"/>
    <n v="643.18956800000001"/>
    <m/>
  </r>
  <r>
    <n v="125"/>
    <s v="COLUMN STRIP "/>
    <m/>
    <m/>
    <x v="0"/>
    <x v="0"/>
    <m/>
    <n v="0"/>
    <m/>
  </r>
  <r>
    <n v="126"/>
    <s v="#5 @12&quot; TOP LW"/>
    <m/>
    <n v="7"/>
    <x v="2"/>
    <x v="1"/>
    <n v="10.417"/>
    <n v="76.05451699999999"/>
    <m/>
  </r>
  <r>
    <n v="127"/>
    <s v="#10 @6&quot; TOP LW"/>
    <m/>
    <n v="15"/>
    <x v="6"/>
    <x v="1"/>
    <n v="33.92"/>
    <n v="2189.3663999999999"/>
    <m/>
  </r>
  <r>
    <n v="128"/>
    <s v="#5 @12&quot; TOP LW"/>
    <m/>
    <n v="13"/>
    <x v="2"/>
    <x v="1"/>
    <n v="34.5"/>
    <n v="467.78550000000001"/>
    <m/>
  </r>
  <r>
    <n v="129"/>
    <s v="#8 @10&quot; TOP LW"/>
    <m/>
    <n v="15"/>
    <x v="3"/>
    <x v="2"/>
    <n v="40"/>
    <n v="1602"/>
    <m/>
  </r>
  <r>
    <n v="130"/>
    <s v="#8 @10&quot; TOP LW"/>
    <m/>
    <n v="15"/>
    <x v="3"/>
    <x v="1"/>
    <n v="5.9130000000000003"/>
    <n v="236.81565000000001"/>
    <m/>
  </r>
  <r>
    <n v="131"/>
    <s v="#9 @8&quot; TOP LW"/>
    <m/>
    <n v="19"/>
    <x v="1"/>
    <x v="1"/>
    <n v="20.008099999999999"/>
    <n v="1292.5232599999997"/>
    <m/>
  </r>
  <r>
    <n v="132"/>
    <s v="#9 @12&quot; TOP LW"/>
    <m/>
    <n v="13"/>
    <x v="1"/>
    <x v="1"/>
    <n v="20.65"/>
    <n v="912.7299999999999"/>
    <m/>
  </r>
  <r>
    <n v="133"/>
    <s v="#8 @12&quot; TOP LW"/>
    <m/>
    <n v="13"/>
    <x v="3"/>
    <x v="1"/>
    <n v="22.167000000000002"/>
    <n v="769.41656999999998"/>
    <m/>
  </r>
  <r>
    <n v="134"/>
    <s v="MIDDLE STRIP"/>
    <m/>
    <m/>
    <x v="0"/>
    <x v="0"/>
    <m/>
    <n v="0"/>
    <m/>
  </r>
  <r>
    <n v="135"/>
    <s v="#5 @12&quot; TOP LW"/>
    <m/>
    <n v="11"/>
    <x v="2"/>
    <x v="1"/>
    <n v="8.0845000000000002"/>
    <n v="92.753468499999997"/>
    <m/>
  </r>
  <r>
    <n v="136"/>
    <s v="#8 @10&quot; TOP LW"/>
    <m/>
    <n v="13"/>
    <x v="3"/>
    <x v="1"/>
    <n v="8.1675000000000004"/>
    <n v="283.49392499999999"/>
    <m/>
  </r>
  <r>
    <n v="137"/>
    <s v="#6 @12&quot; TOP LW"/>
    <m/>
    <n v="11"/>
    <x v="4"/>
    <x v="1"/>
    <n v="14.25"/>
    <n v="235.4385"/>
    <m/>
  </r>
  <r>
    <n v="138"/>
    <s v="#7 @10&quot; TOP LW"/>
    <m/>
    <n v="13"/>
    <x v="5"/>
    <x v="1"/>
    <n v="14.25"/>
    <n v="378.65100000000001"/>
    <m/>
  </r>
  <r>
    <n v="139"/>
    <s v="#8 @12&quot; TOP LW"/>
    <m/>
    <n v="6"/>
    <x v="3"/>
    <x v="1"/>
    <n v="19.670000000000002"/>
    <n v="315.11340000000001"/>
    <m/>
  </r>
  <r>
    <n v="140"/>
    <s v="#5 @12&quot; TOP LW"/>
    <m/>
    <n v="5"/>
    <x v="2"/>
    <x v="1"/>
    <n v="7.0839999999999996"/>
    <n v="36.943059999999996"/>
    <m/>
  </r>
  <r>
    <n v="141"/>
    <s v="COLUMN STRIP "/>
    <m/>
    <m/>
    <x v="0"/>
    <x v="0"/>
    <m/>
    <n v="0"/>
    <m/>
  </r>
  <r>
    <n v="142"/>
    <s v="#9 @12&quot; TOP LW"/>
    <m/>
    <n v="13"/>
    <x v="1"/>
    <x v="1"/>
    <n v="33.917000000000002"/>
    <n v="1499.1314"/>
    <m/>
  </r>
  <r>
    <n v="143"/>
    <s v="#9 @12&quot; TOP LW"/>
    <m/>
    <n v="19"/>
    <x v="1"/>
    <x v="1"/>
    <n v="30.084"/>
    <n v="1943.4264000000001"/>
    <m/>
  </r>
  <r>
    <n v="144"/>
    <s v="#5 @12&quot; TOP LW"/>
    <m/>
    <n v="11"/>
    <x v="2"/>
    <x v="1"/>
    <n v="11.3515"/>
    <n v="130.2357595"/>
    <m/>
  </r>
  <r>
    <n v="145"/>
    <s v="#5 @12&quot; TOP LW"/>
    <m/>
    <n v="11"/>
    <x v="2"/>
    <x v="1"/>
    <n v="31.67"/>
    <n v="363.34991000000002"/>
    <m/>
  </r>
  <r>
    <n v="146"/>
    <s v="#9 @7&quot; TOP LW"/>
    <m/>
    <n v="17"/>
    <x v="1"/>
    <x v="1"/>
    <n v="22.869"/>
    <n v="1321.8281999999999"/>
    <m/>
  </r>
  <r>
    <n v="147"/>
    <s v="#6 @12 TOP LW"/>
    <m/>
    <n v="11"/>
    <x v="4"/>
    <x v="1"/>
    <n v="19.830999999999996"/>
    <n v="327.64778199999995"/>
    <m/>
  </r>
  <r>
    <n v="148"/>
    <s v="#9 @8&quot; TOP LW"/>
    <m/>
    <n v="8"/>
    <x v="1"/>
    <x v="1"/>
    <n v="19.830999999999996"/>
    <n v="539.40319999999986"/>
    <m/>
  </r>
  <r>
    <n v="149"/>
    <s v="#9 @9&quot; TOP LW"/>
    <m/>
    <n v="8"/>
    <x v="1"/>
    <x v="1"/>
    <n v="20.708099999999998"/>
    <n v="563.26031999999998"/>
    <m/>
  </r>
  <r>
    <n v="150"/>
    <s v="#7 @12&quot; TOP LW"/>
    <m/>
    <n v="7"/>
    <x v="5"/>
    <x v="1"/>
    <n v="20.708099999999998"/>
    <n v="296.29149480000001"/>
    <m/>
  </r>
  <r>
    <n v="151"/>
    <s v="#5 @12&quot; TOP LW"/>
    <m/>
    <n v="7"/>
    <x v="2"/>
    <x v="1"/>
    <n v="4.8169999999999993"/>
    <n v="35.168916999999993"/>
    <m/>
  </r>
  <r>
    <n v="152"/>
    <s v="MIDDLE STRIP"/>
    <m/>
    <m/>
    <x v="0"/>
    <x v="0"/>
    <m/>
    <n v="0"/>
    <m/>
  </r>
  <r>
    <n v="153"/>
    <s v="#5 @12&quot; TOP LW"/>
    <m/>
    <n v="9"/>
    <x v="2"/>
    <x v="1"/>
    <n v="7.7720000000000002"/>
    <n v="72.955763999999988"/>
    <m/>
  </r>
  <r>
    <n v="154"/>
    <s v="#5 @12&quot; TOP LW"/>
    <m/>
    <n v="10"/>
    <x v="2"/>
    <x v="1"/>
    <n v="30.83"/>
    <n v="321.55689999999993"/>
    <m/>
  </r>
  <r>
    <n v="155"/>
    <s v="#8 @12&quot; TOP LW"/>
    <m/>
    <n v="11"/>
    <x v="3"/>
    <x v="1"/>
    <n v="30.83"/>
    <n v="905.47709999999995"/>
    <m/>
  </r>
  <r>
    <n v="156"/>
    <s v="#5 @12&quot; TOP LW"/>
    <m/>
    <n v="11"/>
    <x v="2"/>
    <x v="1"/>
    <n v="13.625"/>
    <n v="156.319625"/>
    <m/>
  </r>
  <r>
    <n v="157"/>
    <s v="#7 @12&quot; TOP LW"/>
    <m/>
    <n v="11"/>
    <x v="5"/>
    <x v="1"/>
    <n v="15.335000000000001"/>
    <n v="344.79214000000002"/>
    <m/>
  </r>
  <r>
    <n v="158"/>
    <s v="#5 @12&quot; TOP LW"/>
    <m/>
    <n v="12"/>
    <x v="2"/>
    <x v="1"/>
    <n v="30.082999999999998"/>
    <n v="376.51882799999998"/>
    <m/>
  </r>
  <r>
    <n v="159"/>
    <s v="#9 @9&quot; TOP LW"/>
    <m/>
    <n v="9"/>
    <x v="1"/>
    <x v="1"/>
    <n v="15.335000000000001"/>
    <n v="469.25100000000003"/>
    <m/>
  </r>
  <r>
    <n v="160"/>
    <s v="#7 @12&quot; TOP LW"/>
    <m/>
    <n v="11"/>
    <x v="5"/>
    <x v="1"/>
    <n v="15.335000000000001"/>
    <n v="344.79214000000002"/>
    <m/>
  </r>
  <r>
    <n v="161"/>
    <s v="#5 @12&quot; TOP LW"/>
    <m/>
    <n v="12"/>
    <x v="2"/>
    <x v="1"/>
    <n v="3.3127499999999999"/>
    <n v="41.462378999999999"/>
    <m/>
  </r>
  <r>
    <n v="162"/>
    <s v="COLUMN STRIP "/>
    <m/>
    <m/>
    <x v="0"/>
    <x v="0"/>
    <m/>
    <n v="0"/>
    <m/>
  </r>
  <r>
    <n v="163"/>
    <s v="#5 @12&quot; TOP LW"/>
    <m/>
    <n v="12"/>
    <x v="2"/>
    <x v="1"/>
    <n v="6.125"/>
    <n v="76.660499999999999"/>
    <m/>
  </r>
  <r>
    <n v="164"/>
    <s v="#7 @12&quot; TOP LW"/>
    <m/>
    <n v="12"/>
    <x v="5"/>
    <x v="1"/>
    <n v="36.75"/>
    <n v="901.404"/>
    <m/>
  </r>
  <r>
    <n v="165"/>
    <s v="#8 @12&quot; TOP LW"/>
    <m/>
    <n v="7"/>
    <x v="3"/>
    <x v="1"/>
    <n v="35.5"/>
    <n v="663.495"/>
    <m/>
  </r>
  <r>
    <n v="166"/>
    <s v="#9 @12&quot; TOP LW"/>
    <m/>
    <n v="12"/>
    <x v="1"/>
    <x v="1"/>
    <n v="21.139999999999997"/>
    <n v="862.51199999999994"/>
    <m/>
  </r>
  <r>
    <n v="167"/>
    <s v="#5 @12&quot; TOP LW"/>
    <m/>
    <n v="12"/>
    <x v="2"/>
    <x v="1"/>
    <n v="30.167000000000002"/>
    <n v="377.57017200000001"/>
    <m/>
  </r>
  <r>
    <n v="168"/>
    <s v="#9 @8&quot; TOP LW"/>
    <m/>
    <n v="17"/>
    <x v="1"/>
    <x v="1"/>
    <n v="21.139999999999997"/>
    <n v="1221.8919999999998"/>
    <m/>
  </r>
  <r>
    <n v="169"/>
    <s v="#6 @12&quot; TOP LW"/>
    <m/>
    <n v="12"/>
    <x v="4"/>
    <x v="1"/>
    <n v="7.2669999999999995"/>
    <n v="130.98040799999998"/>
    <m/>
  </r>
  <r>
    <n v="170"/>
    <s v="#6 @12&quot; TOP LW"/>
    <m/>
    <n v="12"/>
    <x v="4"/>
    <x v="1"/>
    <n v="7.7640000000000002"/>
    <n v="139.93833599999999"/>
    <m/>
  </r>
  <r>
    <n v="171"/>
    <s v="#9 @6&quot; TOP LW"/>
    <m/>
    <n v="23"/>
    <x v="1"/>
    <x v="1"/>
    <n v="22.108099999999997"/>
    <n v="1728.8534199999997"/>
    <m/>
  </r>
  <r>
    <n v="172"/>
    <s v="#9 @12&quot; TOP LW"/>
    <m/>
    <n v="13"/>
    <x v="1"/>
    <x v="1"/>
    <n v="22.108099999999997"/>
    <n v="977.17801999999983"/>
    <m/>
  </r>
  <r>
    <n v="173"/>
    <s v="#8 @12&quot; TOP LW"/>
    <m/>
    <n v="13"/>
    <x v="3"/>
    <x v="1"/>
    <n v="24"/>
    <n v="833.04"/>
    <m/>
  </r>
  <r>
    <n v="174"/>
    <s v="MIDDLE STRIP"/>
    <m/>
    <m/>
    <x v="0"/>
    <x v="0"/>
    <m/>
    <n v="0"/>
    <m/>
  </r>
  <r>
    <n v="175"/>
    <s v="#5 @12&quot; TOP LW"/>
    <m/>
    <n v="15"/>
    <x v="2"/>
    <x v="3"/>
    <n v="5.3100000000000005"/>
    <n v="83.074950000000001"/>
    <m/>
  </r>
  <r>
    <n v="176"/>
    <s v="#7 @12&quot; TOP LW"/>
    <m/>
    <n v="15"/>
    <x v="5"/>
    <x v="1"/>
    <n v="32.25"/>
    <n v="988.78499999999997"/>
    <m/>
  </r>
  <r>
    <n v="177"/>
    <s v="#5 @12&quot; TOP LW"/>
    <m/>
    <n v="14"/>
    <x v="2"/>
    <x v="1"/>
    <n v="30"/>
    <n v="438.06"/>
    <m/>
  </r>
  <r>
    <n v="178"/>
    <s v="#7 @12&quot; TOP LW"/>
    <m/>
    <n v="13"/>
    <x v="5"/>
    <x v="1"/>
    <n v="15.083500000000001"/>
    <n v="400.79876200000001"/>
    <m/>
  </r>
  <r>
    <n v="179"/>
    <s v="#5 @12&quot; TOP LW"/>
    <m/>
    <n v="13"/>
    <x v="2"/>
    <x v="1"/>
    <n v="13"/>
    <n v="176.267"/>
    <m/>
  </r>
  <r>
    <n v="180"/>
    <s v="#7 @12&quot; TOP LW"/>
    <m/>
    <n v="13"/>
    <x v="5"/>
    <x v="1"/>
    <n v="15.791499999999999"/>
    <n v="419.61173799999995"/>
    <m/>
  </r>
  <r>
    <n v="181"/>
    <s v="#5 @12&quot; TOP LW"/>
    <m/>
    <n v="13"/>
    <x v="2"/>
    <x v="1"/>
    <n v="31.25"/>
    <n v="423.71875"/>
    <m/>
  </r>
  <r>
    <n v="182"/>
    <s v="#7 @12&quot; TOP LW"/>
    <m/>
    <n v="13"/>
    <x v="5"/>
    <x v="1"/>
    <n v="20.5"/>
    <n v="544.726"/>
    <m/>
  </r>
  <r>
    <n v="183"/>
    <s v="EDGE STRIP (GRID 1-A)"/>
    <m/>
    <m/>
    <x v="0"/>
    <x v="0"/>
    <m/>
    <n v="0"/>
    <m/>
  </r>
  <r>
    <n v="184"/>
    <s v="#6 @12&quot; TOP LW"/>
    <m/>
    <n v="8"/>
    <x v="4"/>
    <x v="1"/>
    <n v="7.194"/>
    <n v="86.443104000000005"/>
    <m/>
  </r>
  <r>
    <n v="185"/>
    <s v="#7 @12&quot; TOP LW"/>
    <m/>
    <n v="8"/>
    <x v="5"/>
    <x v="1"/>
    <n v="37"/>
    <n v="605.024"/>
    <m/>
  </r>
  <r>
    <n v="186"/>
    <s v="#5 @12&quot; TOP LW"/>
    <m/>
    <n v="8"/>
    <x v="2"/>
    <x v="1"/>
    <n v="30.25"/>
    <n v="252.40599999999998"/>
    <m/>
  </r>
  <r>
    <n v="187"/>
    <s v="#9 @9&quot; TOP LW"/>
    <m/>
    <n v="9"/>
    <x v="1"/>
    <x v="1"/>
    <n v="21.116900000000001"/>
    <n v="646.17714000000001"/>
    <m/>
  </r>
  <r>
    <n v="188"/>
    <s v="#6 @10&quot; TOP LW"/>
    <m/>
    <n v="8"/>
    <x v="4"/>
    <x v="1"/>
    <n v="18.2"/>
    <n v="218.69119999999998"/>
    <m/>
  </r>
  <r>
    <n v="189"/>
    <s v="#9 @10&quot; TOP LW"/>
    <m/>
    <n v="8"/>
    <x v="1"/>
    <x v="1"/>
    <n v="22.75"/>
    <n v="618.79999999999995"/>
    <m/>
  </r>
  <r>
    <n v="190"/>
    <s v="#5 @12&quot; TOP LW"/>
    <m/>
    <n v="7"/>
    <x v="2"/>
    <x v="1"/>
    <n v="32.5"/>
    <n v="237.2825"/>
    <m/>
  </r>
  <r>
    <n v="191"/>
    <s v="#9 @12&quot; TOP LW"/>
    <m/>
    <n v="7"/>
    <x v="1"/>
    <x v="1"/>
    <n v="22.82"/>
    <n v="543.11599999999999"/>
    <m/>
  </r>
  <r>
    <n v="192"/>
    <s v="#8 @12&quot; TOP LW"/>
    <m/>
    <n v="7"/>
    <x v="3"/>
    <x v="1"/>
    <n v="12.167"/>
    <n v="227.40123"/>
    <m/>
  </r>
  <r>
    <n v="193"/>
    <s v="13&quot; THK CONC DECK SLAB(N-S )"/>
    <m/>
    <m/>
    <x v="0"/>
    <x v="0"/>
    <m/>
    <n v="0"/>
    <m/>
  </r>
  <r>
    <n v="194"/>
    <s v="EDGE STRIP(GRID A-F/7)"/>
    <m/>
    <m/>
    <x v="0"/>
    <x v="0"/>
    <m/>
    <n v="0"/>
    <m/>
  </r>
  <r>
    <n v="195"/>
    <s v="#5 @12&quot; BOT SW"/>
    <m/>
    <n v="3"/>
    <x v="2"/>
    <x v="1"/>
    <n v="8.4169999999999998"/>
    <n v="26.336793"/>
    <m/>
  </r>
  <r>
    <n v="196"/>
    <s v="#7 @12&quot; BOT SW"/>
    <m/>
    <n v="3"/>
    <x v="5"/>
    <x v="1"/>
    <n v="22.33"/>
    <n v="136.92756"/>
    <m/>
  </r>
  <r>
    <n v="197"/>
    <s v="#8 @12&quot; BOT SW"/>
    <m/>
    <n v="3"/>
    <x v="3"/>
    <x v="1"/>
    <n v="23.667000000000002"/>
    <n v="189.57267000000002"/>
    <m/>
  </r>
  <r>
    <n v="198"/>
    <s v="MID STRIP (GRID A-F/7)"/>
    <m/>
    <m/>
    <x v="0"/>
    <x v="0"/>
    <m/>
    <n v="0"/>
    <m/>
  </r>
  <r>
    <n v="199"/>
    <s v="#5 @12&quot; BOT SW"/>
    <m/>
    <n v="9"/>
    <x v="2"/>
    <x v="1"/>
    <n v="6.2469999999999999"/>
    <n v="58.640588999999991"/>
    <m/>
  </r>
  <r>
    <n v="200"/>
    <s v="#9 @10&quot; BOT SW"/>
    <m/>
    <n v="11"/>
    <x v="6"/>
    <x v="1"/>
    <n v="30.83"/>
    <n v="1459.2763899999998"/>
    <m/>
  </r>
  <r>
    <n v="201"/>
    <s v="#5 @12&quot; BOT SW"/>
    <m/>
    <n v="9"/>
    <x v="2"/>
    <x v="1"/>
    <n v="8.5830000000000002"/>
    <n v="80.568620999999993"/>
    <m/>
  </r>
  <r>
    <n v="202"/>
    <s v="#6 @12&quot; BOT SW"/>
    <m/>
    <n v="9"/>
    <x v="4"/>
    <x v="1"/>
    <n v="22"/>
    <n v="297.39599999999996"/>
    <m/>
  </r>
  <r>
    <n v="203"/>
    <s v="#7 @12&quot; BOT SW"/>
    <m/>
    <n v="9"/>
    <x v="5"/>
    <x v="1"/>
    <n v="23.667000000000002"/>
    <n v="435.37813200000005"/>
    <m/>
  </r>
  <r>
    <n v="204"/>
    <s v="COLUMN STRIP(GRID A-F/7)"/>
    <m/>
    <m/>
    <x v="0"/>
    <x v="0"/>
    <m/>
    <n v="0"/>
    <m/>
  </r>
  <r>
    <n v="205"/>
    <s v="#7 @12&quot; BOT SW"/>
    <m/>
    <n v="4"/>
    <x v="5"/>
    <x v="1"/>
    <n v="6.4169999999999998"/>
    <n v="52.465392000000001"/>
    <m/>
  </r>
  <r>
    <n v="206"/>
    <s v="#9 @8&quot; BOT SW"/>
    <m/>
    <n v="6"/>
    <x v="1"/>
    <x v="1"/>
    <n v="32.83"/>
    <n v="669.73199999999997"/>
    <m/>
  </r>
  <r>
    <n v="207"/>
    <s v="#6 @12&quot; BOT SW"/>
    <m/>
    <n v="4"/>
    <x v="4"/>
    <x v="1"/>
    <n v="10.5"/>
    <n v="63.084000000000003"/>
    <m/>
  </r>
  <r>
    <n v="208"/>
    <s v="#7 @12&quot; BOT SW"/>
    <m/>
    <n v="4"/>
    <x v="5"/>
    <x v="1"/>
    <n v="22.827000000000002"/>
    <n v="186.63355200000001"/>
    <m/>
  </r>
  <r>
    <n v="209"/>
    <s v="#8 @12&quot; BOT SW"/>
    <m/>
    <n v="4"/>
    <x v="3"/>
    <x v="1"/>
    <n v="24.583000000000002"/>
    <n v="262.54644000000002"/>
    <m/>
  </r>
  <r>
    <n v="210"/>
    <s v="COLUMN STRIP (GRID A-E/7)"/>
    <m/>
    <m/>
    <x v="0"/>
    <x v="0"/>
    <m/>
    <n v="0"/>
    <m/>
  </r>
  <r>
    <n v="211"/>
    <s v="#7 @12&quot; BOT SW"/>
    <m/>
    <n v="8"/>
    <x v="5"/>
    <x v="1"/>
    <n v="19.169999999999998"/>
    <n v="313.46783999999997"/>
    <m/>
  </r>
  <r>
    <n v="212"/>
    <s v="#9 @8&quot; BOT SW"/>
    <m/>
    <n v="12"/>
    <x v="1"/>
    <x v="1"/>
    <n v="32.83"/>
    <n v="1339.4639999999999"/>
    <m/>
  </r>
  <r>
    <n v="213"/>
    <s v="#6 @12&quot; BOT SW"/>
    <m/>
    <n v="8"/>
    <x v="4"/>
    <x v="1"/>
    <n v="10.5"/>
    <n v="126.16800000000001"/>
    <m/>
  </r>
  <r>
    <n v="214"/>
    <s v="#6 @12&quot; BOT SW"/>
    <m/>
    <n v="8"/>
    <x v="4"/>
    <x v="1"/>
    <n v="22.667000000000002"/>
    <n v="272.36667199999999"/>
    <m/>
  </r>
  <r>
    <n v="215"/>
    <s v="#9 @8&quot; BOT SW"/>
    <m/>
    <n v="12"/>
    <x v="1"/>
    <x v="1"/>
    <n v="24.917000000000002"/>
    <n v="1016.6135999999999"/>
    <m/>
  </r>
  <r>
    <n v="216"/>
    <s v="MID STRIP(GRID A-E/6)"/>
    <m/>
    <m/>
    <x v="0"/>
    <x v="0"/>
    <m/>
    <n v="0"/>
    <m/>
  </r>
  <r>
    <n v="217"/>
    <s v="#5 @10&quot; BOT SW"/>
    <m/>
    <n v="18"/>
    <x v="2"/>
    <x v="1"/>
    <n v="19.087000000000003"/>
    <n v="358.339338"/>
    <m/>
  </r>
  <r>
    <n v="218"/>
    <s v="#7 @12&quot; BOT SW"/>
    <m/>
    <n v="15"/>
    <x v="5"/>
    <x v="1"/>
    <n v="31.5"/>
    <n v="965.79"/>
    <m/>
  </r>
  <r>
    <n v="219"/>
    <s v="#5 @12&quot; BOT SW"/>
    <m/>
    <n v="15"/>
    <x v="2"/>
    <x v="1"/>
    <n v="18.25"/>
    <n v="285.52125000000001"/>
    <m/>
  </r>
  <r>
    <n v="220"/>
    <s v="#5 @12&quot; BOT SW"/>
    <m/>
    <n v="15"/>
    <x v="2"/>
    <x v="1"/>
    <n v="20.5"/>
    <n v="320.72249999999997"/>
    <m/>
  </r>
  <r>
    <n v="221"/>
    <s v="#6 @10&quot; BOT SW"/>
    <m/>
    <n v="18"/>
    <x v="4"/>
    <x v="1"/>
    <n v="24.167000000000002"/>
    <n v="653.37901199999999"/>
    <m/>
  </r>
  <r>
    <n v="222"/>
    <s v="COLUMN STRIP(GRID A-E/6)"/>
    <m/>
    <m/>
    <x v="0"/>
    <x v="0"/>
    <m/>
    <n v="0"/>
    <m/>
  </r>
  <r>
    <n v="223"/>
    <s v="#6 @10&quot; BOT SW"/>
    <m/>
    <n v="18"/>
    <x v="4"/>
    <x v="1"/>
    <n v="20.169999999999998"/>
    <n v="545.31611999999996"/>
    <m/>
  </r>
  <r>
    <n v="224"/>
    <s v="#8 @12&quot; BOT SW"/>
    <m/>
    <n v="15"/>
    <x v="3"/>
    <x v="1"/>
    <n v="32.332000000000001"/>
    <n v="1294.8966"/>
    <m/>
  </r>
  <r>
    <n v="225"/>
    <s v="#6 @12&quot; BOT SW"/>
    <m/>
    <n v="15"/>
    <x v="4"/>
    <x v="1"/>
    <n v="19.582999999999998"/>
    <n v="441.20499000000001"/>
    <m/>
  </r>
  <r>
    <n v="226"/>
    <s v="#6 @12&quot; BOT SW"/>
    <m/>
    <n v="15"/>
    <x v="4"/>
    <x v="1"/>
    <n v="21.75"/>
    <n v="490.02750000000003"/>
    <m/>
  </r>
  <r>
    <n v="227"/>
    <s v="#8 @10&quot; BOT SW"/>
    <m/>
    <n v="18"/>
    <x v="3"/>
    <x v="1"/>
    <n v="24.583000000000002"/>
    <n v="1181.4589800000001"/>
    <m/>
  </r>
  <r>
    <n v="228"/>
    <s v="MID STRIP(GRID A-E/5.6)"/>
    <m/>
    <m/>
    <x v="0"/>
    <x v="0"/>
    <m/>
    <n v="0"/>
    <m/>
  </r>
  <r>
    <n v="229"/>
    <s v="#5 @10&quot; BOT SW"/>
    <m/>
    <n v="17"/>
    <x v="2"/>
    <x v="1"/>
    <n v="19.087000000000003"/>
    <n v="338.43159700000001"/>
    <m/>
  </r>
  <r>
    <n v="230"/>
    <s v="#7 @12&quot; BOT SW"/>
    <m/>
    <n v="15"/>
    <x v="5"/>
    <x v="1"/>
    <n v="31.5"/>
    <n v="965.79"/>
    <m/>
  </r>
  <r>
    <n v="231"/>
    <s v="#5 @12&quot; BOT SW"/>
    <m/>
    <n v="15"/>
    <x v="2"/>
    <x v="1"/>
    <n v="18.25"/>
    <n v="285.52125000000001"/>
    <m/>
  </r>
  <r>
    <n v="232"/>
    <s v="#5 @12&quot; BOT SW"/>
    <m/>
    <n v="15"/>
    <x v="2"/>
    <x v="1"/>
    <n v="20.5"/>
    <n v="320.72249999999997"/>
    <m/>
  </r>
  <r>
    <n v="233"/>
    <s v="#6 @10&quot; BOT SW"/>
    <m/>
    <n v="17"/>
    <x v="4"/>
    <x v="1"/>
    <n v="24.167000000000002"/>
    <n v="617.08017799999993"/>
    <m/>
  </r>
  <r>
    <n v="234"/>
    <s v="COLUMN STRIP((GRID A-E/5)"/>
    <m/>
    <m/>
    <x v="0"/>
    <x v="0"/>
    <m/>
    <n v="0"/>
    <m/>
  </r>
  <r>
    <n v="235"/>
    <s v="#6 @10&quot; BOT SW"/>
    <m/>
    <n v="18"/>
    <x v="4"/>
    <x v="1"/>
    <n v="20.169999999999998"/>
    <n v="545.31611999999996"/>
    <m/>
  </r>
  <r>
    <n v="236"/>
    <s v="#8 @12&quot; BOT SW"/>
    <m/>
    <n v="15"/>
    <x v="3"/>
    <x v="1"/>
    <n v="32.332000000000001"/>
    <n v="1294.8966"/>
    <m/>
  </r>
  <r>
    <n v="237"/>
    <s v="#6 @12&quot; BOT SW"/>
    <m/>
    <n v="15"/>
    <x v="4"/>
    <x v="1"/>
    <n v="19.582999999999998"/>
    <n v="441.20499000000001"/>
    <m/>
  </r>
  <r>
    <n v="238"/>
    <s v="#6 @12&quot; BOT SW"/>
    <m/>
    <n v="15"/>
    <x v="4"/>
    <x v="1"/>
    <n v="21.75"/>
    <n v="490.02750000000003"/>
    <m/>
  </r>
  <r>
    <n v="239"/>
    <s v="#8 @10&quot; BOT SW"/>
    <m/>
    <n v="18"/>
    <x v="3"/>
    <x v="1"/>
    <n v="24.583000000000002"/>
    <n v="1181.4589800000001"/>
    <m/>
  </r>
  <r>
    <n v="240"/>
    <s v="MID STRIP(GRID A-E/4.4)"/>
    <m/>
    <m/>
    <x v="0"/>
    <x v="0"/>
    <m/>
    <n v="0"/>
    <m/>
  </r>
  <r>
    <n v="241"/>
    <s v="#5 @10&quot; BOT SW"/>
    <m/>
    <n v="18"/>
    <x v="2"/>
    <x v="1"/>
    <n v="19.087000000000003"/>
    <n v="358.339338"/>
    <m/>
  </r>
  <r>
    <n v="242"/>
    <s v="#7 @12&quot; BOT SW"/>
    <m/>
    <n v="15"/>
    <x v="5"/>
    <x v="1"/>
    <n v="31.5"/>
    <n v="965.79"/>
    <m/>
  </r>
  <r>
    <n v="243"/>
    <s v="#5 @12&quot; BOT SW"/>
    <m/>
    <n v="15"/>
    <x v="2"/>
    <x v="1"/>
    <n v="18.25"/>
    <n v="285.52125000000001"/>
    <m/>
  </r>
  <r>
    <n v="244"/>
    <s v="#5 @12&quot; BOT SW"/>
    <m/>
    <n v="15"/>
    <x v="2"/>
    <x v="1"/>
    <n v="20.5"/>
    <n v="320.72249999999997"/>
    <m/>
  </r>
  <r>
    <n v="245"/>
    <s v="#6 @10&quot; BOT SW"/>
    <m/>
    <n v="18"/>
    <x v="4"/>
    <x v="1"/>
    <n v="24.167000000000002"/>
    <n v="653.37901199999999"/>
    <m/>
  </r>
  <r>
    <n v="246"/>
    <s v="COLUMN STRIP(GRID A-E/4)"/>
    <m/>
    <m/>
    <x v="0"/>
    <x v="0"/>
    <m/>
    <n v="0"/>
    <m/>
  </r>
  <r>
    <n v="247"/>
    <s v="#6 @10&quot; BOT SW"/>
    <m/>
    <n v="19"/>
    <x v="4"/>
    <x v="1"/>
    <n v="20.169999999999998"/>
    <n v="575.61145999999997"/>
    <m/>
  </r>
  <r>
    <n v="248"/>
    <s v="#8 @12&quot; BOT SW"/>
    <m/>
    <n v="16"/>
    <x v="3"/>
    <x v="1"/>
    <n v="32.332000000000001"/>
    <n v="1381.2230400000001"/>
    <m/>
  </r>
  <r>
    <n v="249"/>
    <s v="#6 @12&quot; BOT SW"/>
    <m/>
    <n v="16"/>
    <x v="4"/>
    <x v="1"/>
    <n v="19.582999999999998"/>
    <n v="470.61865599999999"/>
    <m/>
  </r>
  <r>
    <n v="250"/>
    <s v="#6 @12&quot; BOT SW"/>
    <m/>
    <n v="16"/>
    <x v="4"/>
    <x v="1"/>
    <n v="21.75"/>
    <n v="522.69600000000003"/>
    <m/>
  </r>
  <r>
    <n v="251"/>
    <s v="#8 @10&quot; BOT SW"/>
    <m/>
    <n v="19"/>
    <x v="3"/>
    <x v="1"/>
    <n v="24.583000000000002"/>
    <n v="1247.0955900000001"/>
    <m/>
  </r>
  <r>
    <n v="252"/>
    <s v="MID STRIP(GRID A-E/4)"/>
    <m/>
    <m/>
    <x v="0"/>
    <x v="0"/>
    <m/>
    <n v="0"/>
    <m/>
  </r>
  <r>
    <n v="253"/>
    <s v="#5 @12&quot; BOT SW"/>
    <m/>
    <n v="11"/>
    <x v="2"/>
    <x v="1"/>
    <n v="18.747"/>
    <n v="215.08433099999996"/>
    <m/>
  </r>
  <r>
    <n v="254"/>
    <s v="#6 @12&quot; BOT SW"/>
    <m/>
    <n v="11"/>
    <x v="4"/>
    <x v="1"/>
    <n v="31.75"/>
    <n v="524.57349999999997"/>
    <m/>
  </r>
  <r>
    <n v="255"/>
    <s v="#5 @10&quot; BOT SW"/>
    <m/>
    <n v="13"/>
    <x v="2"/>
    <x v="1"/>
    <n v="23.5"/>
    <n v="318.63649999999996"/>
    <m/>
  </r>
  <r>
    <n v="256"/>
    <s v="#5 @12&quot; BOT SW"/>
    <m/>
    <n v="11"/>
    <x v="2"/>
    <x v="1"/>
    <n v="15.67"/>
    <n v="179.78190999999998"/>
    <m/>
  </r>
  <r>
    <n v="257"/>
    <s v="#7 @10&quot; BOT SW"/>
    <m/>
    <n v="13"/>
    <x v="5"/>
    <x v="1"/>
    <n v="24.167000000000002"/>
    <n v="642.165524"/>
    <m/>
  </r>
  <r>
    <n v="258"/>
    <s v="COLUMN STRIP(GRID A-E/3)"/>
    <m/>
    <m/>
    <x v="0"/>
    <x v="0"/>
    <m/>
    <n v="0"/>
    <m/>
  </r>
  <r>
    <n v="259"/>
    <s v="#5 @12&quot; BOT SW"/>
    <m/>
    <n v="5"/>
    <x v="2"/>
    <x v="1"/>
    <n v="19.669999999999998"/>
    <n v="102.57905"/>
    <m/>
  </r>
  <r>
    <n v="260"/>
    <s v="#7 @12&quot; BOT SW"/>
    <m/>
    <n v="5"/>
    <x v="5"/>
    <x v="1"/>
    <n v="32.82"/>
    <n v="335.42039999999997"/>
    <m/>
  </r>
  <r>
    <n v="261"/>
    <s v="#6 @12&quot; BOT SW"/>
    <m/>
    <n v="5"/>
    <x v="4"/>
    <x v="1"/>
    <n v="20.75"/>
    <n v="155.83249999999998"/>
    <m/>
  </r>
  <r>
    <n v="262"/>
    <s v="#6 @12&quot; BOT SW"/>
    <m/>
    <n v="5"/>
    <x v="4"/>
    <x v="1"/>
    <n v="17.670000000000002"/>
    <n v="132.70170000000002"/>
    <m/>
  </r>
  <r>
    <n v="263"/>
    <s v="#9 @10&quot; BOT SW"/>
    <m/>
    <n v="5"/>
    <x v="1"/>
    <x v="1"/>
    <n v="28.917000000000002"/>
    <n v="491.58900000000006"/>
    <m/>
  </r>
  <r>
    <n v="264"/>
    <s v="COLUMN STRIP(GRID A-E/3)"/>
    <m/>
    <m/>
    <x v="0"/>
    <x v="0"/>
    <m/>
    <n v="0"/>
    <m/>
  </r>
  <r>
    <n v="265"/>
    <s v="#6 @12&quot; BOT SW"/>
    <m/>
    <n v="6"/>
    <x v="4"/>
    <x v="1"/>
    <n v="19.669999999999998"/>
    <n v="177.26603999999998"/>
    <m/>
  </r>
  <r>
    <n v="266"/>
    <s v="#9 @12&quot; BOT SW"/>
    <m/>
    <n v="6"/>
    <x v="1"/>
    <x v="1"/>
    <n v="29"/>
    <n v="591.59999999999991"/>
    <m/>
  </r>
  <r>
    <n v="267"/>
    <s v="#6 @12&quot; BOT SW"/>
    <m/>
    <n v="4"/>
    <x v="4"/>
    <x v="1"/>
    <n v="11.252000000000001"/>
    <n v="67.602016000000006"/>
    <m/>
  </r>
  <r>
    <n v="268"/>
    <s v="#9 @12&quot; BOT SW"/>
    <m/>
    <n v="6"/>
    <x v="1"/>
    <x v="1"/>
    <n v="29.417000000000002"/>
    <n v="600.10680000000002"/>
    <m/>
  </r>
  <r>
    <n v="269"/>
    <s v="MID STRIP(GRID A-E/2.5)"/>
    <m/>
    <m/>
    <x v="0"/>
    <x v="0"/>
    <m/>
    <n v="0"/>
    <m/>
  </r>
  <r>
    <n v="270"/>
    <s v="#5 @12&quot; BOT SW"/>
    <m/>
    <n v="6"/>
    <x v="2"/>
    <x v="1"/>
    <n v="18.747"/>
    <n v="117.31872599999998"/>
    <m/>
  </r>
  <r>
    <n v="271"/>
    <s v="#6 @12&quot; BOT SW"/>
    <m/>
    <n v="6"/>
    <x v="4"/>
    <x v="1"/>
    <n v="31.75"/>
    <n v="286.13099999999997"/>
    <m/>
  </r>
  <r>
    <n v="272"/>
    <s v="#5 @10&quot; BOT SW"/>
    <m/>
    <n v="7"/>
    <x v="2"/>
    <x v="1"/>
    <n v="23.5"/>
    <n v="171.57349999999997"/>
    <m/>
  </r>
  <r>
    <n v="273"/>
    <s v="#5 @12&quot; BOT SW"/>
    <m/>
    <n v="6"/>
    <x v="2"/>
    <x v="1"/>
    <n v="15.67"/>
    <n v="98.062859999999986"/>
    <m/>
  </r>
  <r>
    <n v="274"/>
    <s v="#7 @10&quot; BOT SW"/>
    <m/>
    <n v="7"/>
    <x v="5"/>
    <x v="1"/>
    <n v="24.167000000000002"/>
    <n v="345.78143599999999"/>
    <m/>
  </r>
  <r>
    <n v="275"/>
    <s v="COLUMN STRIP(GRID A-E/2)"/>
    <m/>
    <m/>
    <x v="0"/>
    <x v="0"/>
    <m/>
    <n v="0"/>
    <m/>
  </r>
  <r>
    <n v="276"/>
    <s v="#6 @12&quot; BOT SW"/>
    <m/>
    <n v="11"/>
    <x v="4"/>
    <x v="1"/>
    <n v="14.17"/>
    <n v="234.11673999999999"/>
    <m/>
  </r>
  <r>
    <n v="277"/>
    <s v="#6 @12&quot; BOT SW"/>
    <m/>
    <n v="11"/>
    <x v="4"/>
    <x v="1"/>
    <n v="32"/>
    <n v="528.70399999999995"/>
    <m/>
  </r>
  <r>
    <n v="278"/>
    <s v="#9 @10&quot; BOT SW"/>
    <m/>
    <n v="13"/>
    <x v="1"/>
    <x v="1"/>
    <n v="32.087000000000003"/>
    <n v="1418.2454000000002"/>
    <m/>
  </r>
  <r>
    <n v="279"/>
    <s v="#6 @12&quot; BOT SW"/>
    <m/>
    <n v="11"/>
    <x v="4"/>
    <x v="1"/>
    <n v="10.32"/>
    <n v="170.50704000000002"/>
    <m/>
  </r>
  <r>
    <n v="280"/>
    <s v="#9 @10&quot; BOT SW"/>
    <m/>
    <n v="13"/>
    <x v="1"/>
    <x v="1"/>
    <n v="29.417000000000002"/>
    <n v="1300.2314000000001"/>
    <m/>
  </r>
  <r>
    <n v="281"/>
    <s v="MID STRIP(GRID A-E/2)"/>
    <m/>
    <m/>
    <x v="0"/>
    <x v="0"/>
    <m/>
    <n v="0"/>
    <m/>
  </r>
  <r>
    <n v="282"/>
    <s v="#5 @12&quot; BOT SW"/>
    <m/>
    <n v="15"/>
    <x v="2"/>
    <x v="1"/>
    <n v="13.917"/>
    <n v="217.73146499999999"/>
    <m/>
  </r>
  <r>
    <n v="283"/>
    <s v="#8 @12&quot; BOT SW"/>
    <m/>
    <n v="15"/>
    <x v="3"/>
    <x v="1"/>
    <n v="31.5"/>
    <n v="1261.575"/>
    <m/>
  </r>
  <r>
    <n v="284"/>
    <s v="#9 @10&quot; BOT SW"/>
    <m/>
    <n v="18"/>
    <x v="1"/>
    <x v="1"/>
    <n v="29.417000000000002"/>
    <n v="1800.3204000000001"/>
    <m/>
  </r>
  <r>
    <n v="285"/>
    <s v="#9 @10&quot; BOT SW"/>
    <m/>
    <n v="18"/>
    <x v="1"/>
    <x v="1"/>
    <n v="27.667000000000002"/>
    <n v="1693.2204000000002"/>
    <m/>
  </r>
  <r>
    <n v="286"/>
    <s v="EDGE STRIP(GRID A-E/1-1.2)"/>
    <m/>
    <m/>
    <x v="0"/>
    <x v="0"/>
    <m/>
    <n v="0"/>
    <m/>
  </r>
  <r>
    <n v="287"/>
    <s v="#6 @12&quot; BOT SW"/>
    <m/>
    <n v="8"/>
    <x v="4"/>
    <x v="1"/>
    <n v="14.917"/>
    <n v="179.242672"/>
    <m/>
  </r>
  <r>
    <n v="288"/>
    <s v="#9 @10&quot; BOT SW"/>
    <m/>
    <n v="10"/>
    <x v="3"/>
    <x v="1"/>
    <n v="33.090000000000003"/>
    <n v="883.50300000000004"/>
    <m/>
  </r>
  <r>
    <n v="289"/>
    <s v="TOP SW"/>
    <m/>
    <m/>
    <x v="0"/>
    <x v="0"/>
    <m/>
    <n v="0"/>
    <m/>
  </r>
  <r>
    <n v="290"/>
    <s v="#6 @12&quot; TOP SW"/>
    <m/>
    <n v="3"/>
    <x v="4"/>
    <x v="3"/>
    <n v="17.582999999999998"/>
    <n v="79.22899799999999"/>
    <m/>
  </r>
  <r>
    <n v="291"/>
    <s v="#9 @8&quot; TOP SW"/>
    <m/>
    <n v="4"/>
    <x v="1"/>
    <x v="1"/>
    <n v="16"/>
    <n v="217.6"/>
    <m/>
  </r>
  <r>
    <n v="292"/>
    <s v="MID STRIP (GRID A-F/7)"/>
    <m/>
    <m/>
    <x v="0"/>
    <x v="0"/>
    <m/>
    <n v="0"/>
    <m/>
  </r>
  <r>
    <n v="293"/>
    <s v="#8 @12&quot; TOP SW"/>
    <m/>
    <n v="9"/>
    <x v="3"/>
    <x v="3"/>
    <n v="13.993"/>
    <n v="336.25179000000003"/>
    <m/>
  </r>
  <r>
    <n v="294"/>
    <s v="#7 @12&quot; TOP SW"/>
    <m/>
    <n v="9"/>
    <x v="5"/>
    <x v="1"/>
    <n v="14.66"/>
    <n v="269.68536"/>
    <m/>
  </r>
  <r>
    <n v="295"/>
    <s v="#7 @12&quot; TOP SW"/>
    <m/>
    <n v="9"/>
    <x v="2"/>
    <x v="1"/>
    <n v="6.8330000000000002"/>
    <n v="64.141370999999992"/>
    <m/>
  </r>
  <r>
    <n v="296"/>
    <s v="#7 @10&quot; TOP SW"/>
    <m/>
    <n v="10"/>
    <x v="5"/>
    <x v="3"/>
    <n v="12.66"/>
    <n v="258.7704"/>
    <m/>
  </r>
  <r>
    <n v="297"/>
    <s v="COLUMN STRIP(GRID A-F/7)"/>
    <m/>
    <m/>
    <x v="0"/>
    <x v="0"/>
    <m/>
    <n v="0"/>
    <m/>
  </r>
  <r>
    <n v="298"/>
    <s v="#8 @12&quot; TOP SW"/>
    <m/>
    <n v="5"/>
    <x v="3"/>
    <x v="3"/>
    <n v="13.993"/>
    <n v="186.80655000000002"/>
    <m/>
  </r>
  <r>
    <n v="299"/>
    <s v="#7 @12&quot; TOP SW"/>
    <m/>
    <n v="5"/>
    <x v="5"/>
    <x v="1"/>
    <n v="14.66"/>
    <n v="149.8252"/>
    <m/>
  </r>
  <r>
    <n v="300"/>
    <s v="#5 @12&quot; TOP SW"/>
    <m/>
    <n v="5"/>
    <x v="2"/>
    <x v="1"/>
    <n v="6.8330000000000002"/>
    <n v="35.634094999999995"/>
    <m/>
  </r>
  <r>
    <n v="301"/>
    <s v="#7 @10&quot; TOP SW"/>
    <m/>
    <n v="6"/>
    <x v="5"/>
    <x v="3"/>
    <n v="12.667"/>
    <n v="155.34808800000002"/>
    <m/>
  </r>
  <r>
    <n v="302"/>
    <s v="COLUMN STRIP (GRID A-E/7)"/>
    <m/>
    <m/>
    <x v="0"/>
    <x v="0"/>
    <m/>
    <n v="0"/>
    <m/>
  </r>
  <r>
    <n v="303"/>
    <s v="#7 @12&quot; TOP SW"/>
    <m/>
    <n v="7"/>
    <x v="5"/>
    <x v="3"/>
    <n v="29.334000000000003"/>
    <n v="419.71087200000005"/>
    <m/>
  </r>
  <r>
    <n v="304"/>
    <s v="#6 @12&quot; TOP SW"/>
    <m/>
    <n v="7"/>
    <x v="4"/>
    <x v="1"/>
    <n v="20.5"/>
    <n v="215.53700000000001"/>
    <m/>
  </r>
  <r>
    <n v="305"/>
    <s v="#6 @12&quot; TOP SW"/>
    <m/>
    <n v="7"/>
    <x v="4"/>
    <x v="1"/>
    <n v="8.9169999999999998"/>
    <n v="93.753337999999999"/>
    <m/>
  </r>
  <r>
    <n v="306"/>
    <s v="#9 @9&quot; TOP SW"/>
    <m/>
    <n v="9"/>
    <x v="1"/>
    <x v="1"/>
    <n v="15.5"/>
    <n v="474.29999999999995"/>
    <m/>
  </r>
  <r>
    <n v="307"/>
    <s v="#5 @12&quot; TOP SW"/>
    <m/>
    <n v="7"/>
    <x v="2"/>
    <x v="3"/>
    <n v="10.747"/>
    <n v="78.463847000000001"/>
    <m/>
  </r>
  <r>
    <n v="308"/>
    <s v="#9 @12&quot; TOP SW"/>
    <m/>
    <n v="7"/>
    <x v="1"/>
    <x v="1"/>
    <n v="20.5"/>
    <n v="487.90000000000003"/>
    <m/>
  </r>
  <r>
    <n v="309"/>
    <s v="#8 @12&quot; TOP SW"/>
    <m/>
    <n v="7"/>
    <x v="3"/>
    <x v="1"/>
    <n v="20.5"/>
    <n v="383.14499999999998"/>
    <m/>
  </r>
  <r>
    <n v="310"/>
    <s v="MID STRIP(GRID A-E/6)"/>
    <m/>
    <m/>
    <x v="0"/>
    <x v="0"/>
    <m/>
    <n v="0"/>
    <m/>
  </r>
  <r>
    <n v="311"/>
    <s v="#5 @12&quot; TOP SW"/>
    <m/>
    <n v="15"/>
    <x v="2"/>
    <x v="3"/>
    <n v="5.4969999999999999"/>
    <n v="86.00056499999998"/>
    <m/>
  </r>
  <r>
    <n v="312"/>
    <s v="#6 @10&quot; TOP SW"/>
    <m/>
    <n v="17"/>
    <x v="4"/>
    <x v="1"/>
    <n v="14.66"/>
    <n v="374.32844"/>
    <m/>
  </r>
  <r>
    <n v="313"/>
    <s v="#6 @10&quot; TOP SW"/>
    <m/>
    <n v="17"/>
    <x v="4"/>
    <x v="1"/>
    <n v="29.75"/>
    <n v="759.63649999999996"/>
    <m/>
  </r>
  <r>
    <n v="314"/>
    <s v="#6 @10&quot; TOP SW"/>
    <m/>
    <n v="17"/>
    <x v="4"/>
    <x v="1"/>
    <n v="11.5"/>
    <n v="293.64100000000002"/>
    <m/>
  </r>
  <r>
    <n v="315"/>
    <s v="#5 @12&quot; TOP SW"/>
    <m/>
    <n v="15"/>
    <x v="2"/>
    <x v="3"/>
    <n v="6.4969999999999999"/>
    <n v="101.64556499999999"/>
    <m/>
  </r>
  <r>
    <n v="316"/>
    <s v="COLUMN STRIP(GRID A-E/6)"/>
    <m/>
    <m/>
    <x v="0"/>
    <x v="0"/>
    <m/>
    <n v="0"/>
    <m/>
  </r>
  <r>
    <n v="317"/>
    <s v="#5 @12&quot; TOP SW"/>
    <m/>
    <n v="16"/>
    <x v="2"/>
    <x v="3"/>
    <n v="10.247"/>
    <n v="171.00193599999997"/>
    <m/>
  </r>
  <r>
    <n v="318"/>
    <s v="#9 @6&quot; TOP SW"/>
    <m/>
    <n v="31"/>
    <x v="1"/>
    <x v="1"/>
    <n v="21"/>
    <n v="2213.3999999999996"/>
    <m/>
  </r>
  <r>
    <n v="319"/>
    <s v="#7 @12&quot; TOP SW"/>
    <m/>
    <n v="16"/>
    <x v="5"/>
    <x v="1"/>
    <n v="33.943000000000005"/>
    <n v="1110.0718720000002"/>
    <m/>
  </r>
  <r>
    <n v="320"/>
    <s v="#9 @9&quot; TOP SW"/>
    <m/>
    <n v="21"/>
    <x v="1"/>
    <x v="1"/>
    <n v="17"/>
    <n v="1213.8"/>
    <m/>
  </r>
  <r>
    <n v="321"/>
    <s v="#5 @12&quot; TOP SW"/>
    <m/>
    <n v="16"/>
    <x v="2"/>
    <x v="3"/>
    <n v="8.17"/>
    <n v="136.34096"/>
    <m/>
  </r>
  <r>
    <n v="322"/>
    <s v="#9 @12&quot; TOP SW"/>
    <m/>
    <n v="16"/>
    <x v="1"/>
    <x v="3"/>
    <n v="21"/>
    <n v="1142.3999999999999"/>
    <m/>
  </r>
  <r>
    <n v="323"/>
    <s v="MID STRIP(GRID A-E/5.6)"/>
    <m/>
    <m/>
    <x v="0"/>
    <x v="0"/>
    <m/>
    <n v="0"/>
    <m/>
  </r>
  <r>
    <n v="324"/>
    <s v="#5 @12&quot; TOP SW"/>
    <m/>
    <n v="14"/>
    <x v="2"/>
    <x v="3"/>
    <n v="5.4969999999999999"/>
    <n v="80.267193999999989"/>
    <m/>
  </r>
  <r>
    <n v="325"/>
    <s v="#6 @10&quot; TOP SW"/>
    <m/>
    <n v="17"/>
    <x v="4"/>
    <x v="1"/>
    <n v="14.66"/>
    <n v="374.32844"/>
    <m/>
  </r>
  <r>
    <n v="326"/>
    <s v="#6 @10&quot; TOP SW"/>
    <m/>
    <n v="17"/>
    <x v="4"/>
    <x v="1"/>
    <n v="29.75"/>
    <n v="759.63649999999996"/>
    <m/>
  </r>
  <r>
    <n v="327"/>
    <s v="#6 @10&quot; TOP SW"/>
    <m/>
    <n v="17"/>
    <x v="4"/>
    <x v="1"/>
    <n v="11.5"/>
    <n v="293.64100000000002"/>
    <m/>
  </r>
  <r>
    <n v="328"/>
    <s v="#5 @12&quot; TOP SW"/>
    <m/>
    <n v="14"/>
    <x v="2"/>
    <x v="3"/>
    <n v="6.4969999999999999"/>
    <n v="94.869193999999993"/>
    <m/>
  </r>
  <r>
    <n v="329"/>
    <s v="COLUMN STRIP((GRID A-E/5)"/>
    <m/>
    <m/>
    <x v="0"/>
    <x v="0"/>
    <m/>
    <n v="0"/>
    <m/>
  </r>
  <r>
    <n v="330"/>
    <s v="#5 @12&quot; TOP SW"/>
    <m/>
    <n v="16"/>
    <x v="2"/>
    <x v="3"/>
    <n v="10.247"/>
    <n v="171.00193599999997"/>
    <m/>
  </r>
  <r>
    <n v="331"/>
    <s v="#9 @6&quot; TOP SW"/>
    <m/>
    <n v="31"/>
    <x v="1"/>
    <x v="1"/>
    <n v="21"/>
    <n v="2213.3999999999996"/>
    <m/>
  </r>
  <r>
    <n v="332"/>
    <s v="#7 @12&quot; TOP SW"/>
    <m/>
    <n v="16"/>
    <x v="5"/>
    <x v="1"/>
    <n v="33.943000000000005"/>
    <n v="1110.0718720000002"/>
    <m/>
  </r>
  <r>
    <n v="333"/>
    <s v="#9 @9&quot; TOP SW"/>
    <m/>
    <n v="21"/>
    <x v="1"/>
    <x v="1"/>
    <n v="17"/>
    <n v="1213.8"/>
    <m/>
  </r>
  <r>
    <n v="334"/>
    <s v="#5 @12&quot; TOP SW"/>
    <m/>
    <n v="16"/>
    <x v="2"/>
    <x v="3"/>
    <n v="8.17"/>
    <n v="136.34096"/>
    <m/>
  </r>
  <r>
    <n v="335"/>
    <s v="MID STRIP(GRID A-E/4.4)"/>
    <m/>
    <m/>
    <x v="0"/>
    <x v="0"/>
    <m/>
    <n v="0"/>
    <m/>
  </r>
  <r>
    <n v="336"/>
    <s v="#5 @12&quot; TOP SW"/>
    <m/>
    <n v="14"/>
    <x v="2"/>
    <x v="3"/>
    <n v="5.4969999999999999"/>
    <n v="80.267193999999989"/>
    <m/>
  </r>
  <r>
    <n v="337"/>
    <s v="#6 @10&quot; TOP SW"/>
    <m/>
    <n v="17"/>
    <x v="4"/>
    <x v="1"/>
    <n v="14.66"/>
    <n v="374.32844"/>
    <m/>
  </r>
  <r>
    <n v="338"/>
    <s v="#6 @10&quot; TOP SW"/>
    <m/>
    <n v="17"/>
    <x v="4"/>
    <x v="1"/>
    <n v="29.75"/>
    <n v="759.63649999999996"/>
    <m/>
  </r>
  <r>
    <n v="339"/>
    <s v="#6 @10&quot; TOP SW"/>
    <m/>
    <n v="17"/>
    <x v="4"/>
    <x v="1"/>
    <n v="11.5"/>
    <n v="293.64100000000002"/>
    <m/>
  </r>
  <r>
    <n v="340"/>
    <s v="#5 @12&quot; TOP SW"/>
    <m/>
    <n v="14"/>
    <x v="2"/>
    <x v="3"/>
    <n v="6.4969999999999999"/>
    <n v="94.869193999999993"/>
    <m/>
  </r>
  <r>
    <n v="341"/>
    <s v="COLUMN STRIP(GRID A-E/4)"/>
    <m/>
    <m/>
    <x v="0"/>
    <x v="0"/>
    <m/>
    <n v="0"/>
    <m/>
  </r>
  <r>
    <n v="342"/>
    <s v="#5 @12&quot; TOP SW"/>
    <m/>
    <n v="15"/>
    <x v="2"/>
    <x v="3"/>
    <n v="10.247"/>
    <n v="160.31431499999997"/>
    <m/>
  </r>
  <r>
    <n v="343"/>
    <s v="#9 @6&quot; TOP SW"/>
    <m/>
    <n v="28"/>
    <x v="1"/>
    <x v="1"/>
    <n v="21"/>
    <n v="1999.1999999999998"/>
    <m/>
  </r>
  <r>
    <n v="344"/>
    <s v="#7 @12&quot; TOP SW"/>
    <m/>
    <n v="15"/>
    <x v="5"/>
    <x v="1"/>
    <n v="33.943000000000005"/>
    <n v="1040.6923800000002"/>
    <m/>
  </r>
  <r>
    <n v="345"/>
    <s v="#9 @9&quot; TOP SW"/>
    <m/>
    <n v="19"/>
    <x v="1"/>
    <x v="1"/>
    <n v="17"/>
    <n v="1098.2"/>
    <m/>
  </r>
  <r>
    <n v="346"/>
    <s v="#5 @12&quot; TOP SW"/>
    <m/>
    <n v="15"/>
    <x v="2"/>
    <x v="3"/>
    <n v="8.17"/>
    <n v="127.81965"/>
    <m/>
  </r>
  <r>
    <n v="347"/>
    <s v="MID STRIP(GRID A-E/4)"/>
    <m/>
    <m/>
    <x v="0"/>
    <x v="0"/>
    <m/>
    <n v="0"/>
    <m/>
  </r>
  <r>
    <n v="348"/>
    <s v="#5 @12&quot; TOP SW"/>
    <m/>
    <n v="15"/>
    <x v="2"/>
    <x v="3"/>
    <n v="5.6970000000000001"/>
    <n v="89.129564999999999"/>
    <m/>
  </r>
  <r>
    <n v="349"/>
    <s v="#6 @12&quot; TOP SW"/>
    <m/>
    <n v="15"/>
    <x v="4"/>
    <x v="1"/>
    <n v="15"/>
    <n v="337.95000000000005"/>
    <m/>
  </r>
  <r>
    <n v="350"/>
    <s v="#6 @12&quot; TOP SW"/>
    <m/>
    <n v="15"/>
    <x v="4"/>
    <x v="1"/>
    <n v="15"/>
    <n v="337.95000000000005"/>
    <m/>
  </r>
  <r>
    <n v="351"/>
    <s v="#6 @10&quot; TOP SW"/>
    <m/>
    <n v="17"/>
    <x v="4"/>
    <x v="1"/>
    <n v="24.996000000000002"/>
    <n v="638.24786400000005"/>
    <m/>
  </r>
  <r>
    <n v="352"/>
    <s v="#5 @12&quot; TOP SW"/>
    <m/>
    <n v="14"/>
    <x v="2"/>
    <x v="3"/>
    <n v="6.25"/>
    <n v="91.262500000000003"/>
    <m/>
  </r>
  <r>
    <n v="353"/>
    <s v="COLUMN STRIP(GRID A-E/3)"/>
    <m/>
    <m/>
    <x v="0"/>
    <x v="0"/>
    <m/>
    <n v="0"/>
    <m/>
  </r>
  <r>
    <n v="354"/>
    <s v="#5 @12&quot; TOP SW"/>
    <m/>
    <n v="15"/>
    <x v="2"/>
    <x v="3"/>
    <n v="7.9969999999999999"/>
    <n v="125.11306500000001"/>
    <m/>
  </r>
  <r>
    <n v="355"/>
    <s v="#9 @10&quot; TOP SW"/>
    <m/>
    <n v="18"/>
    <x v="1"/>
    <x v="1"/>
    <n v="21"/>
    <n v="1285.1999999999998"/>
    <m/>
  </r>
  <r>
    <n v="356"/>
    <s v="#9 @10&quot; TOP SW"/>
    <m/>
    <n v="18"/>
    <x v="1"/>
    <x v="1"/>
    <n v="21"/>
    <n v="1285.1999999999998"/>
    <m/>
  </r>
  <r>
    <n v="357"/>
    <s v="#7 @12&quot; TOP SW"/>
    <m/>
    <n v="15"/>
    <x v="5"/>
    <x v="1"/>
    <n v="33"/>
    <n v="1011.78"/>
    <m/>
  </r>
  <r>
    <n v="358"/>
    <s v="#9 @10&quot; TOP SW"/>
    <m/>
    <n v="18"/>
    <x v="1"/>
    <x v="1"/>
    <n v="16.166"/>
    <n v="989.35919999999999"/>
    <m/>
  </r>
  <r>
    <n v="359"/>
    <s v="#5 @12&quot; TOP SW"/>
    <m/>
    <n v="15"/>
    <x v="2"/>
    <x v="3"/>
    <n v="9.327"/>
    <n v="145.92091499999998"/>
    <m/>
  </r>
  <r>
    <n v="360"/>
    <s v="#9 @8&quot; TOP SW"/>
    <m/>
    <n v="22"/>
    <x v="1"/>
    <x v="1"/>
    <n v="28.917000000000002"/>
    <n v="2162.9916000000003"/>
    <m/>
  </r>
  <r>
    <n v="361"/>
    <s v="#6 @12&quot; TOP SW"/>
    <m/>
    <n v="15"/>
    <x v="4"/>
    <x v="1"/>
    <n v="18"/>
    <n v="405.54"/>
    <m/>
  </r>
  <r>
    <n v="362"/>
    <s v="#6 @12&quot; TOP SW"/>
    <m/>
    <n v="15"/>
    <x v="4"/>
    <x v="1"/>
    <n v="16.5"/>
    <n v="371.745"/>
    <m/>
  </r>
  <r>
    <n v="363"/>
    <s v="#6 @12&quot; TOP SW"/>
    <m/>
    <n v="15"/>
    <x v="4"/>
    <x v="1"/>
    <n v="9.327"/>
    <n v="210.13731000000001"/>
    <m/>
  </r>
  <r>
    <n v="364"/>
    <s v="MID STRIP(GRID A-E/2.5)"/>
    <m/>
    <m/>
    <x v="0"/>
    <x v="0"/>
    <m/>
    <n v="0"/>
    <m/>
  </r>
  <r>
    <n v="365"/>
    <s v="#5 @12&quot; TOP SW"/>
    <m/>
    <n v="8"/>
    <x v="2"/>
    <x v="3"/>
    <n v="5.6970000000000001"/>
    <n v="47.535767999999997"/>
    <m/>
  </r>
  <r>
    <n v="366"/>
    <s v="#6 @12&quot; TOP SW"/>
    <m/>
    <n v="8"/>
    <x v="4"/>
    <x v="1"/>
    <n v="15"/>
    <n v="180.24"/>
    <m/>
  </r>
  <r>
    <n v="367"/>
    <s v="#6 @12&quot; TOP SW"/>
    <m/>
    <n v="8"/>
    <x v="4"/>
    <x v="1"/>
    <n v="15"/>
    <n v="180.24"/>
    <m/>
  </r>
  <r>
    <n v="368"/>
    <s v="#6 @10&quot; TOP SW"/>
    <m/>
    <n v="10"/>
    <x v="4"/>
    <x v="1"/>
    <n v="24.996000000000002"/>
    <n v="375.43992000000003"/>
    <m/>
  </r>
  <r>
    <n v="369"/>
    <s v="#5 @12&quot; TOP SW"/>
    <m/>
    <n v="8"/>
    <x v="2"/>
    <x v="3"/>
    <n v="6.25"/>
    <n v="52.15"/>
    <m/>
  </r>
  <r>
    <n v="370"/>
    <s v="COLOUMN STRIP (GRID A-E/2)"/>
    <m/>
    <m/>
    <x v="0"/>
    <x v="0"/>
    <m/>
    <n v="0"/>
    <m/>
  </r>
  <r>
    <n v="371"/>
    <s v="#7 @10&quot; TOP SW"/>
    <m/>
    <n v="25"/>
    <x v="5"/>
    <x v="3"/>
    <n v="25.327000000000002"/>
    <n v="1294.2097000000001"/>
    <m/>
  </r>
  <r>
    <n v="372"/>
    <s v="#8 @12&quot; TOP SW"/>
    <m/>
    <n v="21"/>
    <x v="3"/>
    <x v="1"/>
    <n v="21"/>
    <n v="1177.47"/>
    <m/>
  </r>
  <r>
    <n v="373"/>
    <s v="#9 @10&quot; TOP SW"/>
    <m/>
    <n v="21"/>
    <x v="1"/>
    <x v="1"/>
    <n v="28.5"/>
    <n v="2034.8999999999999"/>
    <m/>
  </r>
  <r>
    <n v="374"/>
    <s v="#6 @12&quot; TOP SW"/>
    <m/>
    <n v="23"/>
    <x v="4"/>
    <x v="1"/>
    <n v="10.5"/>
    <n v="362.733"/>
    <m/>
  </r>
  <r>
    <n v="375"/>
    <s v="#5 @12&quot; TOP SW"/>
    <m/>
    <n v="23"/>
    <x v="4"/>
    <x v="3"/>
    <n v="6.4969999999999999"/>
    <n v="224.44536200000002"/>
    <m/>
  </r>
  <r>
    <n v="376"/>
    <s v="EDGE STRIP(GRID A-E/1-1.2)"/>
    <m/>
    <m/>
    <x v="0"/>
    <x v="0"/>
    <m/>
    <n v="0"/>
    <m/>
  </r>
  <r>
    <n v="377"/>
    <s v="#9 @8&quot; BOT SW"/>
    <m/>
    <n v="10"/>
    <x v="1"/>
    <x v="1"/>
    <n v="25.333000000000002"/>
    <n v="861.322"/>
    <m/>
  </r>
  <r>
    <n v="378"/>
    <s v="#5 @12&quot; BOT SW"/>
    <m/>
    <n v="7"/>
    <x v="2"/>
    <x v="1"/>
    <n v="11"/>
    <n v="80.310999999999993"/>
    <m/>
  </r>
  <r>
    <n v="379"/>
    <s v="BOT ADDLS"/>
    <m/>
    <m/>
    <x v="0"/>
    <x v="0"/>
    <m/>
    <n v="0"/>
    <m/>
  </r>
  <r>
    <n v="380"/>
    <s v="3-#7 BOT ADDL @OPNG (6 LOCS)"/>
    <n v="6"/>
    <n v="3"/>
    <x v="5"/>
    <x v="1"/>
    <n v="19.75"/>
    <n v="726.64200000000005"/>
    <m/>
  </r>
  <r>
    <n v="381"/>
    <s v="3-#8 BOT ADDL @OPNG"/>
    <n v="2"/>
    <n v="3"/>
    <x v="3"/>
    <x v="1"/>
    <n v="19.75"/>
    <n v="316.39499999999998"/>
    <m/>
  </r>
  <r>
    <n v="382"/>
    <s v="2-#7 BOT  ADDL @OPNG"/>
    <m/>
    <n v="2"/>
    <x v="5"/>
    <x v="1"/>
    <n v="4.5"/>
    <n v="18.396000000000001"/>
    <m/>
  </r>
  <r>
    <n v="383"/>
    <s v="4-#9 BOT ADDL "/>
    <m/>
    <n v="4"/>
    <x v="1"/>
    <x v="1"/>
    <n v="28.5"/>
    <n v="387.59999999999997"/>
    <m/>
  </r>
  <r>
    <n v="384"/>
    <s v="#4 @48&quot; STANDEES EW"/>
    <m/>
    <n v="1060"/>
    <x v="7"/>
    <x v="3"/>
    <n v="4.91"/>
    <n v="3476.6728000000003"/>
    <m/>
  </r>
  <r>
    <n v="385"/>
    <s v="DROP PANEL:(4'-0&quot;SQ x 0'-8&quot;DP)"/>
    <m/>
    <m/>
    <x v="0"/>
    <x v="0"/>
    <m/>
    <n v="0"/>
    <m/>
  </r>
  <r>
    <n v="386"/>
    <s v="#4 @12&quot; BOT E.W (21 LOCS)"/>
    <n v="21"/>
    <n v="10"/>
    <x v="7"/>
    <x v="1"/>
    <n v="3.84"/>
    <n v="538.67520000000002"/>
    <m/>
  </r>
  <r>
    <n v="387"/>
    <s v="#4 SUPPORT BARS "/>
    <m/>
    <n v="75"/>
    <x v="7"/>
    <x v="2"/>
    <n v="40"/>
    <n v="2004.0000000000002"/>
    <m/>
  </r>
  <r>
    <n v="388"/>
    <m/>
    <m/>
    <m/>
    <x v="0"/>
    <x v="0"/>
    <m/>
    <n v="0"/>
    <m/>
  </r>
  <r>
    <n v="389"/>
    <m/>
    <m/>
    <m/>
    <x v="0"/>
    <x v="0"/>
    <m/>
    <n v="0"/>
    <m/>
  </r>
  <r>
    <n v="390"/>
    <m/>
    <m/>
    <m/>
    <x v="0"/>
    <x v="0"/>
    <m/>
    <n v="0"/>
    <m/>
  </r>
  <r>
    <n v="391"/>
    <m/>
    <m/>
    <m/>
    <x v="0"/>
    <x v="0"/>
    <m/>
    <n v="0"/>
    <m/>
  </r>
  <r>
    <n v="392"/>
    <m/>
    <m/>
    <m/>
    <x v="0"/>
    <x v="0"/>
    <m/>
    <n v="0"/>
    <m/>
  </r>
  <r>
    <n v="393"/>
    <m/>
    <m/>
    <m/>
    <x v="0"/>
    <x v="0"/>
    <m/>
    <n v="0"/>
    <m/>
  </r>
  <r>
    <n v="394"/>
    <m/>
    <m/>
    <m/>
    <x v="0"/>
    <x v="0"/>
    <m/>
    <n v="0"/>
    <m/>
  </r>
  <r>
    <n v="395"/>
    <m/>
    <m/>
    <m/>
    <x v="0"/>
    <x v="0"/>
    <m/>
    <n v="0"/>
    <m/>
  </r>
  <r>
    <n v="396"/>
    <m/>
    <m/>
    <m/>
    <x v="0"/>
    <x v="0"/>
    <m/>
    <n v="0"/>
    <m/>
  </r>
  <r>
    <n v="397"/>
    <m/>
    <m/>
    <m/>
    <x v="0"/>
    <x v="0"/>
    <m/>
    <n v="0"/>
    <m/>
  </r>
  <r>
    <n v="398"/>
    <m/>
    <m/>
    <m/>
    <x v="0"/>
    <x v="0"/>
    <m/>
    <n v="0"/>
    <m/>
  </r>
  <r>
    <n v="399"/>
    <m/>
    <m/>
    <m/>
    <x v="0"/>
    <x v="0"/>
    <m/>
    <n v="0"/>
    <m/>
  </r>
  <r>
    <n v="400"/>
    <m/>
    <m/>
    <m/>
    <x v="0"/>
    <x v="0"/>
    <m/>
    <n v="0"/>
    <m/>
  </r>
  <r>
    <m/>
    <m/>
    <m/>
    <m/>
    <x v="0"/>
    <x v="0"/>
    <s v="Total Weight"/>
    <n v="182964.5477571500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01">
  <r>
    <n v="1"/>
    <s v="SHEET NO:S2 FOUNDATION PLAN "/>
    <m/>
    <m/>
    <x v="0"/>
    <x v="0"/>
    <m/>
    <n v="0"/>
    <m/>
  </r>
  <r>
    <n v="2"/>
    <s v="CONC.STAIR - 1"/>
    <m/>
    <m/>
    <x v="0"/>
    <x v="0"/>
    <m/>
    <n v="0"/>
    <m/>
  </r>
  <r>
    <n v="3"/>
    <s v="(P2/LVL:137.50 TO P1/LVL:147.30)"/>
    <m/>
    <m/>
    <x v="0"/>
    <x v="0"/>
    <m/>
    <n v="0"/>
    <m/>
  </r>
  <r>
    <n v="4"/>
    <s v="UP-FLIGHT"/>
    <m/>
    <m/>
    <x v="0"/>
    <x v="0"/>
    <m/>
    <n v="0"/>
    <m/>
  </r>
  <r>
    <n v="5"/>
    <s v="#4  @16&quot; DWLS"/>
    <m/>
    <n v="3"/>
    <x v="1"/>
    <x v="1"/>
    <n v="2.84"/>
    <n v="5.6913599999999995"/>
    <m/>
  </r>
  <r>
    <n v="6"/>
    <s v="#4  @16&quot; LW "/>
    <m/>
    <n v="3"/>
    <x v="1"/>
    <x v="1"/>
    <n v="10.42"/>
    <n v="20.881679999999999"/>
    <m/>
  </r>
  <r>
    <n v="7"/>
    <s v="#4  @16&quot; SW "/>
    <m/>
    <n v="8"/>
    <x v="1"/>
    <x v="2"/>
    <n v="2.67"/>
    <n v="14.26848"/>
    <m/>
  </r>
  <r>
    <n v="8"/>
    <s v="#4 @16&quot;  SW DWLS "/>
    <n v="2"/>
    <n v="8"/>
    <x v="1"/>
    <x v="1"/>
    <n v="3.08"/>
    <n v="32.919040000000003"/>
    <m/>
  </r>
  <r>
    <n v="9"/>
    <s v="2 #4 ADD HORZ BAR"/>
    <m/>
    <n v="2"/>
    <x v="1"/>
    <x v="2"/>
    <n v="2.67"/>
    <n v="3.5671200000000001"/>
    <m/>
  </r>
  <r>
    <n v="10"/>
    <s v="#3 NOSING BAR"/>
    <m/>
    <n v="8"/>
    <x v="2"/>
    <x v="2"/>
    <n v="2.67"/>
    <n v="8.0313599999999994"/>
    <m/>
  </r>
  <r>
    <n v="11"/>
    <s v="MID-LANDING"/>
    <m/>
    <m/>
    <x v="0"/>
    <x v="0"/>
    <m/>
    <n v="0"/>
    <m/>
  </r>
  <r>
    <n v="12"/>
    <s v="#4  @16&quot; LW "/>
    <m/>
    <n v="4"/>
    <x v="1"/>
    <x v="2"/>
    <n v="9.83"/>
    <n v="26.26576"/>
    <m/>
  </r>
  <r>
    <n v="13"/>
    <s v="#4  @16&quot; SW  "/>
    <m/>
    <n v="8"/>
    <x v="1"/>
    <x v="2"/>
    <n v="3.5"/>
    <n v="18.704000000000001"/>
    <m/>
  </r>
  <r>
    <n v="14"/>
    <s v="DOWN-FLIGHT"/>
    <m/>
    <m/>
    <x v="0"/>
    <x v="0"/>
    <m/>
    <n v="0"/>
    <m/>
  </r>
  <r>
    <n v="15"/>
    <s v="#4  @16&quot; LW "/>
    <m/>
    <n v="4"/>
    <x v="1"/>
    <x v="1"/>
    <n v="12.92"/>
    <n v="34.522240000000004"/>
    <m/>
  </r>
  <r>
    <n v="16"/>
    <s v="#4  @16&quot; SW "/>
    <m/>
    <n v="9"/>
    <x v="1"/>
    <x v="2"/>
    <n v="2.67"/>
    <n v="16.052040000000002"/>
    <m/>
  </r>
  <r>
    <n v="17"/>
    <s v="#4 @16&quot;  SW DWLS "/>
    <n v="2"/>
    <n v="9"/>
    <x v="1"/>
    <x v="1"/>
    <n v="3.08"/>
    <n v="37.033920000000002"/>
    <m/>
  </r>
  <r>
    <n v="18"/>
    <s v="2 #4 ADD HORZ BAR"/>
    <m/>
    <n v="2"/>
    <x v="1"/>
    <x v="2"/>
    <n v="2.67"/>
    <n v="3.5671200000000001"/>
    <m/>
  </r>
  <r>
    <n v="19"/>
    <s v="#3 NOSING BAR"/>
    <m/>
    <n v="9"/>
    <x v="2"/>
    <x v="2"/>
    <n v="2.67"/>
    <n v="9.0352800000000002"/>
    <m/>
  </r>
  <r>
    <n v="20"/>
    <s v="FLOOR-LANDING"/>
    <m/>
    <m/>
    <x v="0"/>
    <x v="0"/>
    <m/>
    <n v="0"/>
    <m/>
  </r>
  <r>
    <n v="21"/>
    <s v="#4  @16&quot; LW "/>
    <m/>
    <n v="4"/>
    <x v="1"/>
    <x v="2"/>
    <n v="9.83"/>
    <n v="26.26576"/>
    <m/>
  </r>
  <r>
    <n v="22"/>
    <s v="#4  @16&quot; SW  "/>
    <m/>
    <n v="8"/>
    <x v="1"/>
    <x v="2"/>
    <n v="3.5"/>
    <n v="18.704000000000001"/>
    <m/>
  </r>
  <r>
    <n v="23"/>
    <s v="(P2/LVL:147.30 TO P1/LVL:156.70)"/>
    <m/>
    <m/>
    <x v="0"/>
    <x v="0"/>
    <m/>
    <n v="0"/>
    <m/>
  </r>
  <r>
    <n v="24"/>
    <s v="UP-FLIGHT"/>
    <m/>
    <m/>
    <x v="0"/>
    <x v="0"/>
    <m/>
    <n v="0"/>
    <m/>
  </r>
  <r>
    <n v="25"/>
    <s v="#4  @16&quot; LW "/>
    <m/>
    <n v="4"/>
    <x v="1"/>
    <x v="1"/>
    <n v="10.42"/>
    <n v="27.84224"/>
    <m/>
  </r>
  <r>
    <n v="26"/>
    <s v="#4  @16&quot; SW "/>
    <m/>
    <n v="8"/>
    <x v="1"/>
    <x v="2"/>
    <n v="2.67"/>
    <n v="14.26848"/>
    <m/>
  </r>
  <r>
    <n v="27"/>
    <s v="#4 @16&quot;  SW DWLS "/>
    <n v="2"/>
    <n v="8"/>
    <x v="1"/>
    <x v="1"/>
    <n v="3.08"/>
    <n v="32.919040000000003"/>
    <m/>
  </r>
  <r>
    <n v="28"/>
    <s v="2 #4 ADD HORZ BAR"/>
    <m/>
    <n v="2"/>
    <x v="1"/>
    <x v="2"/>
    <n v="2.67"/>
    <n v="3.5671200000000001"/>
    <m/>
  </r>
  <r>
    <n v="29"/>
    <s v="#3 NOSING BAR"/>
    <m/>
    <n v="8"/>
    <x v="2"/>
    <x v="2"/>
    <n v="2.67"/>
    <n v="8.0313599999999994"/>
    <m/>
  </r>
  <r>
    <n v="30"/>
    <s v="MID-LANDING"/>
    <m/>
    <m/>
    <x v="0"/>
    <x v="0"/>
    <m/>
    <n v="0"/>
    <m/>
  </r>
  <r>
    <n v="31"/>
    <s v="#4  @16&quot; LW "/>
    <m/>
    <n v="4"/>
    <x v="1"/>
    <x v="2"/>
    <n v="9.83"/>
    <n v="26.26576"/>
    <m/>
  </r>
  <r>
    <n v="32"/>
    <s v="#4  @16&quot; SW  "/>
    <m/>
    <n v="8"/>
    <x v="1"/>
    <x v="2"/>
    <n v="3.5"/>
    <n v="18.704000000000001"/>
    <m/>
  </r>
  <r>
    <n v="33"/>
    <s v="DOWN-FLIGHT"/>
    <m/>
    <m/>
    <x v="0"/>
    <x v="0"/>
    <m/>
    <n v="0"/>
    <m/>
  </r>
  <r>
    <n v="34"/>
    <s v="#4  @16&quot; LW "/>
    <m/>
    <n v="4"/>
    <x v="1"/>
    <x v="1"/>
    <n v="12.92"/>
    <n v="34.522240000000004"/>
    <m/>
  </r>
  <r>
    <n v="35"/>
    <s v="#4  @16&quot; SW "/>
    <m/>
    <n v="9"/>
    <x v="1"/>
    <x v="2"/>
    <n v="2.67"/>
    <n v="16.052040000000002"/>
    <m/>
  </r>
  <r>
    <n v="36"/>
    <s v="#4 @16&quot;  SW DWLS "/>
    <n v="2"/>
    <n v="9"/>
    <x v="1"/>
    <x v="1"/>
    <n v="3.08"/>
    <n v="37.033920000000002"/>
    <m/>
  </r>
  <r>
    <n v="37"/>
    <s v="2 #4 ADD HORZ BAR"/>
    <m/>
    <n v="2"/>
    <x v="1"/>
    <x v="2"/>
    <n v="2.67"/>
    <n v="3.5671200000000001"/>
    <m/>
  </r>
  <r>
    <n v="38"/>
    <s v="#3 NOSING BAR"/>
    <m/>
    <n v="9"/>
    <x v="2"/>
    <x v="2"/>
    <n v="2.67"/>
    <n v="9.0352800000000002"/>
    <m/>
  </r>
  <r>
    <n v="39"/>
    <s v="FLOOR-LANDING"/>
    <m/>
    <m/>
    <x v="0"/>
    <x v="0"/>
    <m/>
    <n v="0"/>
    <m/>
  </r>
  <r>
    <n v="40"/>
    <s v="#4  @16&quot; LW "/>
    <m/>
    <n v="4"/>
    <x v="1"/>
    <x v="2"/>
    <n v="9.83"/>
    <n v="26.26576"/>
    <m/>
  </r>
  <r>
    <n v="41"/>
    <s v="#4  @16&quot; SW  "/>
    <m/>
    <n v="8"/>
    <x v="1"/>
    <x v="2"/>
    <n v="3.5"/>
    <n v="18.704000000000001"/>
    <m/>
  </r>
  <r>
    <n v="42"/>
    <s v="CONC.STAIR -2"/>
    <m/>
    <m/>
    <x v="0"/>
    <x v="0"/>
    <m/>
    <n v="0"/>
    <m/>
  </r>
  <r>
    <n v="43"/>
    <s v="(P2/LVL:133.80 TO P1/LVL:143.60)"/>
    <m/>
    <m/>
    <x v="0"/>
    <x v="0"/>
    <m/>
    <n v="0"/>
    <m/>
  </r>
  <r>
    <n v="44"/>
    <s v="UP-FLIGHT"/>
    <m/>
    <m/>
    <x v="0"/>
    <x v="0"/>
    <m/>
    <n v="0"/>
    <m/>
  </r>
  <r>
    <n v="45"/>
    <s v="#4  @16&quot; DWLS"/>
    <m/>
    <n v="3"/>
    <x v="1"/>
    <x v="1"/>
    <n v="2.84"/>
    <n v="5.6913599999999995"/>
    <m/>
  </r>
  <r>
    <n v="46"/>
    <s v="#4  @16&quot; LW "/>
    <m/>
    <n v="3"/>
    <x v="1"/>
    <x v="1"/>
    <n v="12.92"/>
    <n v="25.891680000000001"/>
    <m/>
  </r>
  <r>
    <n v="47"/>
    <s v="#4  @16&quot; SW "/>
    <m/>
    <n v="9"/>
    <x v="1"/>
    <x v="2"/>
    <n v="2.67"/>
    <n v="16.052040000000002"/>
    <m/>
  </r>
  <r>
    <n v="48"/>
    <s v="#4 @16&quot;  SW DWLS "/>
    <n v="2"/>
    <n v="9"/>
    <x v="1"/>
    <x v="1"/>
    <n v="3.08"/>
    <n v="37.033920000000002"/>
    <m/>
  </r>
  <r>
    <n v="49"/>
    <s v="2 #4 ADD HORZ BAR"/>
    <m/>
    <n v="2"/>
    <x v="1"/>
    <x v="2"/>
    <n v="2.67"/>
    <n v="3.5671200000000001"/>
    <m/>
  </r>
  <r>
    <n v="50"/>
    <s v="#3 NOSING BAR"/>
    <m/>
    <n v="9"/>
    <x v="2"/>
    <x v="2"/>
    <n v="2.67"/>
    <n v="9.0352800000000002"/>
    <m/>
  </r>
  <r>
    <n v="51"/>
    <s v="MID-LANDING"/>
    <m/>
    <m/>
    <x v="0"/>
    <x v="0"/>
    <m/>
    <n v="0"/>
    <m/>
  </r>
  <r>
    <n v="52"/>
    <s v="#4  @16&quot; LW "/>
    <m/>
    <n v="7"/>
    <x v="1"/>
    <x v="2"/>
    <n v="9.83"/>
    <n v="45.96508"/>
    <m/>
  </r>
  <r>
    <n v="53"/>
    <s v="#4  @16&quot; SW "/>
    <m/>
    <n v="8"/>
    <x v="1"/>
    <x v="2"/>
    <n v="7.92"/>
    <n v="42.324480000000001"/>
    <m/>
  </r>
  <r>
    <n v="54"/>
    <s v="DOWN-FLIGHT"/>
    <m/>
    <m/>
    <x v="0"/>
    <x v="0"/>
    <m/>
    <n v="0"/>
    <m/>
  </r>
  <r>
    <n v="55"/>
    <s v="#4  @16&quot; LW "/>
    <m/>
    <n v="4"/>
    <x v="1"/>
    <x v="1"/>
    <n v="12.92"/>
    <n v="34.522240000000004"/>
    <m/>
  </r>
  <r>
    <n v="56"/>
    <s v="#4  @16&quot; SW "/>
    <m/>
    <n v="8"/>
    <x v="1"/>
    <x v="2"/>
    <n v="2.67"/>
    <n v="14.26848"/>
    <m/>
  </r>
  <r>
    <n v="57"/>
    <s v="#4 @16&quot;  SW DWLS "/>
    <n v="2"/>
    <n v="8"/>
    <x v="1"/>
    <x v="1"/>
    <n v="3.08"/>
    <n v="32.919040000000003"/>
    <m/>
  </r>
  <r>
    <n v="58"/>
    <s v="2 #4 ADD HORZ BAR"/>
    <m/>
    <n v="2"/>
    <x v="1"/>
    <x v="2"/>
    <n v="2.67"/>
    <n v="3.5671200000000001"/>
    <m/>
  </r>
  <r>
    <n v="59"/>
    <s v="#3 NOSING BAR"/>
    <m/>
    <n v="8"/>
    <x v="2"/>
    <x v="2"/>
    <n v="2.67"/>
    <n v="8.0313599999999994"/>
    <m/>
  </r>
  <r>
    <n v="60"/>
    <s v="FLOOR-LANDING"/>
    <m/>
    <m/>
    <x v="0"/>
    <x v="0"/>
    <m/>
    <n v="0"/>
    <m/>
  </r>
  <r>
    <n v="61"/>
    <s v="#4  @16&quot; LW "/>
    <m/>
    <n v="7"/>
    <x v="1"/>
    <x v="2"/>
    <n v="9.83"/>
    <n v="45.96508"/>
    <m/>
  </r>
  <r>
    <n v="62"/>
    <s v="#4  @16&quot; SW "/>
    <m/>
    <n v="8"/>
    <x v="1"/>
    <x v="2"/>
    <n v="7.92"/>
    <n v="42.324480000000001"/>
    <m/>
  </r>
  <r>
    <n v="63"/>
    <s v="(P2/LVL:143.60 TO P1/LVL:157.10)"/>
    <m/>
    <m/>
    <x v="0"/>
    <x v="0"/>
    <m/>
    <n v="0"/>
    <m/>
  </r>
  <r>
    <n v="64"/>
    <s v="UP-FLIGHT"/>
    <m/>
    <m/>
    <x v="0"/>
    <x v="0"/>
    <m/>
    <n v="0"/>
    <m/>
  </r>
  <r>
    <n v="65"/>
    <s v="#4  @16&quot; DWLS"/>
    <m/>
    <n v="3"/>
    <x v="1"/>
    <x v="1"/>
    <n v="2.84"/>
    <n v="5.6913599999999995"/>
    <m/>
  </r>
  <r>
    <n v="66"/>
    <s v="#4  @16&quot; LW "/>
    <m/>
    <n v="3"/>
    <x v="1"/>
    <x v="1"/>
    <n v="12.92"/>
    <n v="25.891680000000001"/>
    <m/>
  </r>
  <r>
    <n v="67"/>
    <s v="#4  @16&quot; SW "/>
    <m/>
    <n v="9"/>
    <x v="1"/>
    <x v="2"/>
    <n v="2.67"/>
    <n v="16.052040000000002"/>
    <m/>
  </r>
  <r>
    <n v="68"/>
    <s v="#4 @16&quot;  SW DWLS "/>
    <n v="2"/>
    <n v="9"/>
    <x v="1"/>
    <x v="1"/>
    <n v="3.08"/>
    <n v="37.033920000000002"/>
    <m/>
  </r>
  <r>
    <n v="69"/>
    <s v="2 #4 ADD HORZ BAR"/>
    <m/>
    <n v="2"/>
    <x v="1"/>
    <x v="2"/>
    <n v="2.67"/>
    <n v="3.5671200000000001"/>
    <m/>
  </r>
  <r>
    <n v="70"/>
    <s v="#3 NOSING BAR"/>
    <m/>
    <n v="9"/>
    <x v="2"/>
    <x v="2"/>
    <n v="2.67"/>
    <n v="9.0352800000000002"/>
    <m/>
  </r>
  <r>
    <n v="71"/>
    <s v="MID-LANDING"/>
    <m/>
    <m/>
    <x v="0"/>
    <x v="0"/>
    <m/>
    <n v="0"/>
    <m/>
  </r>
  <r>
    <n v="72"/>
    <s v="#4  @16&quot; LW "/>
    <m/>
    <n v="7"/>
    <x v="1"/>
    <x v="2"/>
    <n v="9.83"/>
    <n v="45.96508"/>
    <m/>
  </r>
  <r>
    <n v="73"/>
    <s v="#4  @16&quot; SW "/>
    <m/>
    <n v="8"/>
    <x v="1"/>
    <x v="2"/>
    <n v="7.92"/>
    <n v="42.324480000000001"/>
    <m/>
  </r>
  <r>
    <n v="74"/>
    <s v="DOWN-FLIGHT"/>
    <m/>
    <m/>
    <x v="0"/>
    <x v="0"/>
    <m/>
    <n v="0"/>
    <m/>
  </r>
  <r>
    <n v="75"/>
    <s v="#4  @16&quot; LW "/>
    <m/>
    <n v="4"/>
    <x v="1"/>
    <x v="1"/>
    <n v="18.329999999999998"/>
    <n v="48.977759999999996"/>
    <m/>
  </r>
  <r>
    <n v="76"/>
    <s v="#4  @16&quot; SW "/>
    <m/>
    <n v="13"/>
    <x v="1"/>
    <x v="2"/>
    <n v="2.67"/>
    <n v="23.18628"/>
    <m/>
  </r>
  <r>
    <n v="77"/>
    <s v="#4 @16&quot;  SW DWLS "/>
    <n v="2"/>
    <n v="13"/>
    <x v="1"/>
    <x v="1"/>
    <n v="3.08"/>
    <n v="53.493440000000007"/>
    <m/>
  </r>
  <r>
    <n v="78"/>
    <s v="2 #4 ADD HORZ BAR"/>
    <m/>
    <n v="2"/>
    <x v="1"/>
    <x v="2"/>
    <n v="2.67"/>
    <n v="3.5671200000000001"/>
    <m/>
  </r>
  <r>
    <n v="79"/>
    <s v="#3 NOSING BAR"/>
    <m/>
    <n v="13"/>
    <x v="2"/>
    <x v="2"/>
    <n v="2.67"/>
    <n v="13.05096"/>
    <m/>
  </r>
  <r>
    <n v="80"/>
    <s v="FLOOR-LANDING"/>
    <m/>
    <m/>
    <x v="0"/>
    <x v="0"/>
    <m/>
    <n v="0"/>
    <m/>
  </r>
  <r>
    <n v="81"/>
    <s v="#4  @16&quot; LW "/>
    <m/>
    <n v="7"/>
    <x v="1"/>
    <x v="2"/>
    <n v="9.83"/>
    <n v="45.96508"/>
    <m/>
  </r>
  <r>
    <n v="82"/>
    <s v="#4  @16&quot; SW "/>
    <m/>
    <n v="8"/>
    <x v="1"/>
    <x v="2"/>
    <n v="7.92"/>
    <n v="42.324480000000001"/>
    <m/>
  </r>
  <r>
    <n v="83"/>
    <s v="#4 CONT "/>
    <m/>
    <n v="35"/>
    <x v="1"/>
    <x v="2"/>
    <n v="10"/>
    <n v="233.8"/>
    <m/>
  </r>
  <r>
    <n v="84"/>
    <s v="10&quot;THK CONC.STAIR (SEC 4/S-4)"/>
    <m/>
    <m/>
    <x v="0"/>
    <x v="0"/>
    <m/>
    <n v="0"/>
    <m/>
  </r>
  <r>
    <n v="85"/>
    <s v="1ST LVL - 2ND LVL"/>
    <m/>
    <m/>
    <x v="0"/>
    <x v="0"/>
    <m/>
    <n v="0"/>
    <m/>
  </r>
  <r>
    <n v="86"/>
    <s v="#5 @12&quot; DWLS"/>
    <m/>
    <n v="5"/>
    <x v="3"/>
    <x v="1"/>
    <n v="5.5"/>
    <n v="28.682499999999997"/>
    <m/>
  </r>
  <r>
    <n v="87"/>
    <s v="#5 @12&quot; BOT LW"/>
    <m/>
    <n v="5"/>
    <x v="3"/>
    <x v="2"/>
    <n v="23.17"/>
    <n v="120.83154999999999"/>
    <m/>
  </r>
  <r>
    <n v="88"/>
    <s v="#5 @12&quot; BOT SW"/>
    <m/>
    <n v="21"/>
    <x v="3"/>
    <x v="2"/>
    <n v="4.33"/>
    <n v="94.83999"/>
    <m/>
  </r>
  <r>
    <n v="89"/>
    <s v="#3 NOSING BAR"/>
    <n v="21"/>
    <n v="1"/>
    <x v="2"/>
    <x v="2"/>
    <n v="4.33"/>
    <n v="34.189680000000003"/>
    <m/>
  </r>
  <r>
    <n v="90"/>
    <s v="10&quot;THK CONC.STAIR (GRID 1/C-D)"/>
    <m/>
    <m/>
    <x v="0"/>
    <x v="0"/>
    <m/>
    <n v="0"/>
    <m/>
  </r>
  <r>
    <n v="91"/>
    <s v="1ST LVL - 2ND LVL"/>
    <m/>
    <m/>
    <x v="0"/>
    <x v="0"/>
    <m/>
    <n v="0"/>
    <m/>
  </r>
  <r>
    <n v="92"/>
    <s v="#5 @12&quot; DWLS"/>
    <m/>
    <n v="5"/>
    <x v="3"/>
    <x v="1"/>
    <n v="5.5"/>
    <n v="28.682499999999997"/>
    <m/>
  </r>
  <r>
    <n v="93"/>
    <s v="#5 @12&quot; BOT LW"/>
    <m/>
    <n v="5"/>
    <x v="3"/>
    <x v="2"/>
    <n v="23.17"/>
    <n v="120.83154999999999"/>
    <m/>
  </r>
  <r>
    <n v="94"/>
    <s v="#5 @12&quot; BOT SW"/>
    <m/>
    <n v="21"/>
    <x v="3"/>
    <x v="2"/>
    <n v="4.33"/>
    <n v="94.83999"/>
    <m/>
  </r>
  <r>
    <n v="95"/>
    <s v="#3 NOSING BAR"/>
    <n v="21"/>
    <n v="1"/>
    <x v="2"/>
    <x v="2"/>
    <n v="4.33"/>
    <n v="34.189680000000003"/>
    <m/>
  </r>
  <r>
    <n v="96"/>
    <m/>
    <m/>
    <m/>
    <x v="0"/>
    <x v="0"/>
    <m/>
    <n v="0"/>
    <m/>
  </r>
  <r>
    <n v="97"/>
    <m/>
    <m/>
    <m/>
    <x v="0"/>
    <x v="0"/>
    <m/>
    <n v="0"/>
    <m/>
  </r>
  <r>
    <n v="98"/>
    <m/>
    <m/>
    <m/>
    <x v="0"/>
    <x v="0"/>
    <m/>
    <n v="0"/>
    <m/>
  </r>
  <r>
    <n v="99"/>
    <m/>
    <m/>
    <m/>
    <x v="0"/>
    <x v="0"/>
    <m/>
    <n v="0"/>
    <m/>
  </r>
  <r>
    <n v="100"/>
    <m/>
    <m/>
    <m/>
    <x v="0"/>
    <x v="0"/>
    <m/>
    <n v="0"/>
    <m/>
  </r>
  <r>
    <m/>
    <m/>
    <m/>
    <m/>
    <x v="0"/>
    <x v="0"/>
    <s v="Total Weight"/>
    <n v="1847.916079999999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n v="1"/>
    <s v="SHT NO:S-2 FOUNDATION PLAN"/>
    <m/>
    <m/>
    <x v="0"/>
    <x v="0"/>
    <m/>
    <n v="0"/>
    <m/>
  </r>
  <r>
    <n v="2"/>
    <s v="WALL FTG (1'-6&quot;x1'-0&quot;DP) SEC:5/S-11"/>
    <m/>
    <m/>
    <x v="0"/>
    <x v="0"/>
    <m/>
    <n v="0"/>
    <m/>
  </r>
  <r>
    <n v="3"/>
    <s v="#5 @12&quot; BOT LW "/>
    <m/>
    <n v="3"/>
    <x v="1"/>
    <x v="1"/>
    <n v="21.667000000000002"/>
    <n v="67.796042999999997"/>
    <m/>
  </r>
  <r>
    <n v="4"/>
    <s v="#5 @12&quot; BOT SW"/>
    <m/>
    <n v="17"/>
    <x v="1"/>
    <x v="1"/>
    <n v="1.1659999999999999"/>
    <n v="20.674346"/>
    <m/>
  </r>
  <r>
    <n v="5"/>
    <s v="WALL FTG (2'-0&quot;x1'-0&quot;DP) SEC:8,10/S-11"/>
    <m/>
    <m/>
    <x v="0"/>
    <x v="0"/>
    <m/>
    <n v="0"/>
    <m/>
  </r>
  <r>
    <n v="6"/>
    <s v="#5 @12&quot; BOT LW "/>
    <n v="2"/>
    <n v="3"/>
    <x v="1"/>
    <x v="2"/>
    <n v="40"/>
    <n v="250.32"/>
    <m/>
  </r>
  <r>
    <n v="7"/>
    <s v="&quot;"/>
    <m/>
    <n v="3"/>
    <x v="1"/>
    <x v="1"/>
    <n v="22.33"/>
    <n v="69.870569999999987"/>
    <m/>
  </r>
  <r>
    <n v="8"/>
    <s v="#5 @12&quot; BOT SW"/>
    <m/>
    <n v="73"/>
    <x v="1"/>
    <x v="1"/>
    <n v="1.6659999999999999"/>
    <n v="126.84757399999998"/>
    <m/>
  </r>
  <r>
    <n v="9"/>
    <s v="WALL  FTG (2'-10&quot;x1'-2&quot;DP)SEC :2,11/S-11"/>
    <m/>
    <m/>
    <x v="0"/>
    <x v="0"/>
    <m/>
    <n v="0"/>
    <m/>
  </r>
  <r>
    <n v="10"/>
    <s v="#5 @12&quot; BOT LW "/>
    <n v="1"/>
    <n v="4"/>
    <x v="1"/>
    <x v="2"/>
    <n v="40"/>
    <n v="166.88"/>
    <m/>
  </r>
  <r>
    <n v="11"/>
    <s v="&quot;"/>
    <m/>
    <m/>
    <x v="0"/>
    <x v="1"/>
    <n v="39.5"/>
    <n v="0"/>
    <m/>
  </r>
  <r>
    <n v="12"/>
    <s v="#5 @12&quot; BOT SW"/>
    <m/>
    <n v="49"/>
    <x v="1"/>
    <x v="1"/>
    <n v="2.4159999999999999"/>
    <n v="123.47451199999999"/>
    <m/>
  </r>
  <r>
    <n v="13"/>
    <s v="WALL FTG (3'-0&quot;x1'-2&quot;DP)SEC: 14/S-11"/>
    <m/>
    <m/>
    <x v="0"/>
    <x v="0"/>
    <m/>
    <n v="0"/>
    <m/>
  </r>
  <r>
    <n v="14"/>
    <s v="#5 @12&quot; BOT LW"/>
    <m/>
    <n v="4"/>
    <x v="1"/>
    <x v="1"/>
    <n v="40"/>
    <n v="166.88"/>
    <m/>
  </r>
  <r>
    <n v="15"/>
    <s v="&quot;"/>
    <m/>
    <m/>
    <x v="0"/>
    <x v="1"/>
    <n v="2.5"/>
    <n v="0"/>
    <m/>
  </r>
  <r>
    <n v="16"/>
    <s v="#5 @12&quot; COR BAR"/>
    <m/>
    <n v="4"/>
    <x v="1"/>
    <x v="3"/>
    <n v="6"/>
    <n v="25.031999999999996"/>
    <m/>
  </r>
  <r>
    <n v="17"/>
    <s v="#5 @12&quot; BOT SW"/>
    <m/>
    <n v="28"/>
    <x v="1"/>
    <x v="1"/>
    <n v="2.6659999999999999"/>
    <n v="77.857863999999992"/>
    <m/>
  </r>
  <r>
    <n v="18"/>
    <s v="WALL FTG (3'-4&quot;x1'-4&quot;DP)SEC: 6/S-11"/>
    <m/>
    <m/>
    <x v="0"/>
    <x v="0"/>
    <m/>
    <n v="0"/>
    <m/>
  </r>
  <r>
    <n v="19"/>
    <s v="#5 @12&quot; BOT LW"/>
    <m/>
    <n v="5"/>
    <x v="1"/>
    <x v="1"/>
    <n v="21.667000000000002"/>
    <n v="112.993405"/>
    <m/>
  </r>
  <r>
    <n v="20"/>
    <s v="#5 @12&quot; BOT SW"/>
    <m/>
    <n v="13"/>
    <x v="1"/>
    <x v="1"/>
    <n v="2.9990000000000001"/>
    <n v="40.663440999999999"/>
    <m/>
  </r>
  <r>
    <n v="21"/>
    <s v="WALL FTG (3'-6&quot;x1'-4&quot;DP)SEC: 2,10/S-11"/>
    <m/>
    <m/>
    <x v="0"/>
    <x v="0"/>
    <m/>
    <n v="0"/>
    <m/>
  </r>
  <r>
    <n v="22"/>
    <s v="#5 @12&quot; BOT LW"/>
    <m/>
    <n v="5"/>
    <x v="1"/>
    <x v="1"/>
    <n v="40"/>
    <n v="208.6"/>
    <m/>
  </r>
  <r>
    <n v="22"/>
    <s v="&quot;"/>
    <m/>
    <m/>
    <x v="0"/>
    <x v="1"/>
    <n v="36.919999999999987"/>
    <n v="0"/>
    <m/>
  </r>
  <r>
    <n v="23"/>
    <s v="#5 @12&quot; BOT SW"/>
    <m/>
    <n v="135"/>
    <x v="1"/>
    <x v="1"/>
    <n v="3.1659999999999999"/>
    <n v="445.78862999999996"/>
    <m/>
  </r>
  <r>
    <n v="24"/>
    <s v="#5 @12&quot; COR BAR"/>
    <m/>
    <n v="10"/>
    <x v="1"/>
    <x v="3"/>
    <n v="6"/>
    <n v="62.579999999999991"/>
    <m/>
  </r>
  <r>
    <n v="25"/>
    <s v="WALL FTG (3'-8&quot;x1'-4&quot;DP)SEC 10/S-11"/>
    <m/>
    <m/>
    <x v="0"/>
    <x v="0"/>
    <m/>
    <n v="0"/>
    <m/>
  </r>
  <r>
    <n v="26"/>
    <s v="#5 @12&quot; BOT LW"/>
    <m/>
    <n v="5"/>
    <x v="1"/>
    <x v="1"/>
    <n v="20.832999999999998"/>
    <n v="108.64409499999999"/>
    <m/>
  </r>
  <r>
    <n v="27"/>
    <s v="#5 @12&quot; BOT SW"/>
    <m/>
    <n v="8"/>
    <x v="1"/>
    <x v="1"/>
    <n v="3.3329999999999997"/>
    <n v="27.810551999999994"/>
    <m/>
  </r>
  <r>
    <n v="28"/>
    <s v="WALL FTG (4'-0&quot;x1'-4&quot;DP)SEC: 1,2,11/S-11"/>
    <m/>
    <m/>
    <x v="0"/>
    <x v="0"/>
    <m/>
    <n v="0"/>
    <m/>
  </r>
  <r>
    <n v="29"/>
    <s v="#5 @12&quot; BOT LW"/>
    <m/>
    <n v="3"/>
    <x v="1"/>
    <x v="1"/>
    <n v="40"/>
    <n v="125.16"/>
    <m/>
  </r>
  <r>
    <n v="29"/>
    <s v="&quot;"/>
    <m/>
    <m/>
    <x v="0"/>
    <x v="1"/>
    <n v="39"/>
    <n v="0"/>
    <m/>
  </r>
  <r>
    <n v="30"/>
    <s v="#5 @12&quot; BOT SW"/>
    <m/>
    <n v="115"/>
    <x v="1"/>
    <x v="1"/>
    <n v="3.6659999999999999"/>
    <n v="439.71836999999999"/>
    <m/>
  </r>
  <r>
    <n v="31"/>
    <s v="#5 @12&quot; COR BAR"/>
    <n v="4"/>
    <n v="5"/>
    <x v="1"/>
    <x v="3"/>
    <n v="6"/>
    <n v="125.15999999999998"/>
    <m/>
  </r>
  <r>
    <n v="32"/>
    <s v="WALL FTG (4'-4&quot;x1'-6&quot;) "/>
    <m/>
    <m/>
    <x v="0"/>
    <x v="0"/>
    <m/>
    <n v="0"/>
    <m/>
  </r>
  <r>
    <n v="33"/>
    <s v="#5 @12&quot; BOT LW"/>
    <m/>
    <n v="6"/>
    <x v="1"/>
    <x v="1"/>
    <n v="18"/>
    <n v="112.64399999999998"/>
    <m/>
  </r>
  <r>
    <n v="34"/>
    <s v="#5 @12&quot; BOT SW"/>
    <m/>
    <n v="5"/>
    <x v="1"/>
    <x v="1"/>
    <n v="3.9890000000000003"/>
    <n v="20.802635000000002"/>
    <m/>
  </r>
  <r>
    <n v="35"/>
    <s v="WALL FTG (5'-0&quot;x1'6&quot;)SEC: 10/S-11"/>
    <m/>
    <m/>
    <x v="0"/>
    <x v="0"/>
    <m/>
    <n v="0"/>
    <m/>
  </r>
  <r>
    <n v="36"/>
    <s v="#5 @12&quot; BOT LW"/>
    <m/>
    <n v="6"/>
    <x v="1"/>
    <x v="1"/>
    <n v="18"/>
    <n v="112.64399999999998"/>
    <m/>
  </r>
  <r>
    <n v="37"/>
    <s v="#5 @12&quot; BOT SW"/>
    <m/>
    <n v="5"/>
    <x v="1"/>
    <x v="1"/>
    <n v="4.6660000000000004"/>
    <n v="24.333190000000002"/>
    <m/>
  </r>
  <r>
    <n v="38"/>
    <s v="WALL FTG (5'-6&quot;x1'-8&quot;)SEC: 3/S-11"/>
    <m/>
    <m/>
    <x v="0"/>
    <x v="0"/>
    <m/>
    <n v="0"/>
    <m/>
  </r>
  <r>
    <n v="39"/>
    <s v="#5 @12&quot; BOT LW"/>
    <m/>
    <n v="7"/>
    <x v="1"/>
    <x v="1"/>
    <n v="35.167000000000002"/>
    <n v="256.75426700000003"/>
    <m/>
  </r>
  <r>
    <n v="40"/>
    <s v="#5 @12&quot; BOT SW"/>
    <m/>
    <n v="15"/>
    <x v="1"/>
    <x v="1"/>
    <n v="5.1660000000000004"/>
    <n v="80.822069999999997"/>
    <m/>
  </r>
  <r>
    <n v="41"/>
    <s v="WALL FTG (6'-0&quot;x1'-8&quot;)SEC: 9/S-11"/>
    <m/>
    <m/>
    <x v="0"/>
    <x v="0"/>
    <m/>
    <n v="0"/>
    <m/>
  </r>
  <r>
    <n v="42"/>
    <s v="#5 @12&quot; BOT LW"/>
    <m/>
    <n v="7"/>
    <x v="1"/>
    <x v="1"/>
    <n v="40"/>
    <n v="292.03999999999996"/>
    <m/>
  </r>
  <r>
    <n v="42"/>
    <s v="&quot;"/>
    <m/>
    <m/>
    <x v="0"/>
    <x v="1"/>
    <n v="21.42"/>
    <n v="0"/>
    <m/>
  </r>
  <r>
    <n v="43"/>
    <s v="#5 @12&quot; BOT SW"/>
    <m/>
    <n v="41"/>
    <x v="1"/>
    <x v="1"/>
    <n v="5.6660000000000004"/>
    <n v="242.29515800000001"/>
    <m/>
  </r>
  <r>
    <n v="44"/>
    <s v="WALL FTG (7'-0&quot;x1'-8&quot;)"/>
    <m/>
    <m/>
    <x v="0"/>
    <x v="0"/>
    <m/>
    <n v="0"/>
    <m/>
  </r>
  <r>
    <n v="45"/>
    <s v="#5 @12&quot; BOT LW"/>
    <m/>
    <n v="8"/>
    <x v="1"/>
    <x v="1"/>
    <n v="12.25"/>
    <n v="102.214"/>
    <m/>
  </r>
  <r>
    <n v="46"/>
    <s v="#5 @12&quot; BOT SW"/>
    <m/>
    <n v="5"/>
    <x v="1"/>
    <x v="1"/>
    <n v="6.6660000000000004"/>
    <n v="34.763190000000002"/>
    <m/>
  </r>
  <r>
    <n v="47"/>
    <s v="CMU WALL DWLS"/>
    <m/>
    <m/>
    <x v="0"/>
    <x v="0"/>
    <m/>
    <n v="0"/>
    <m/>
  </r>
  <r>
    <n v="48"/>
    <s v="#5 @16&quot; DWLS "/>
    <m/>
    <n v="227"/>
    <x v="1"/>
    <x v="3"/>
    <n v="5"/>
    <n v="1183.8050000000001"/>
    <m/>
  </r>
  <r>
    <n v="49"/>
    <s v="CONC.WALLS DWLS"/>
    <m/>
    <m/>
    <x v="0"/>
    <x v="0"/>
    <m/>
    <n v="0"/>
    <m/>
  </r>
  <r>
    <n v="50"/>
    <s v="#6 @12&quot; DWLS OF"/>
    <m/>
    <n v="455"/>
    <x v="2"/>
    <x v="3"/>
    <n v="5.58"/>
    <n v="3813.4277999999999"/>
    <m/>
  </r>
  <r>
    <n v="51"/>
    <s v="#7 @7&quot; DWLS IF"/>
    <m/>
    <n v="818"/>
    <x v="3"/>
    <x v="3"/>
    <n v="5.7469999999999999"/>
    <n v="9608.9380239999991"/>
    <m/>
  </r>
  <r>
    <n v="52"/>
    <s v="#5 @12&quot; DWLS EF"/>
    <n v="2"/>
    <n v="20"/>
    <x v="1"/>
    <x v="3"/>
    <n v="5.91"/>
    <n v="246.5652"/>
    <m/>
  </r>
  <r>
    <n v="53"/>
    <s v="#5 @12&quot; DWLS EF"/>
    <n v="2"/>
    <n v="76"/>
    <x v="1"/>
    <x v="3"/>
    <n v="5.91"/>
    <n v="936.94776000000002"/>
    <m/>
  </r>
  <r>
    <n v="54"/>
    <s v="#5 @12&quot; DWLS EF"/>
    <n v="2"/>
    <n v="76"/>
    <x v="1"/>
    <x v="3"/>
    <n v="5.91"/>
    <n v="936.94776000000002"/>
    <m/>
  </r>
  <r>
    <n v="55"/>
    <s v="#6 @12&quot; DOF"/>
    <m/>
    <n v="83"/>
    <x v="2"/>
    <x v="3"/>
    <n v="5.4169999999999998"/>
    <n v="675.31572199999994"/>
    <m/>
  </r>
  <r>
    <n v="56"/>
    <s v="#7 @7&quot; DIF"/>
    <m/>
    <n v="149"/>
    <x v="3"/>
    <x v="3"/>
    <n v="5.5839999999999996"/>
    <n v="1700.6407039999999"/>
    <m/>
  </r>
  <r>
    <n v="57"/>
    <s v="#4 @16&quot; DWLS"/>
    <n v="2"/>
    <n v="17"/>
    <x v="4"/>
    <x v="3"/>
    <n v="4"/>
    <n v="90.847999999999999"/>
    <m/>
  </r>
  <r>
    <n v="58"/>
    <s v="#5 @12&quot; D/V"/>
    <m/>
    <n v="60"/>
    <x v="1"/>
    <x v="3"/>
    <n v="6.33"/>
    <n v="396.13139999999999"/>
    <m/>
  </r>
  <r>
    <n v="59"/>
    <s v="2-#9 WALL END DWLS"/>
    <n v="3"/>
    <n v="2"/>
    <x v="5"/>
    <x v="1"/>
    <n v="5.4130000000000003"/>
    <n v="110.42519999999999"/>
    <m/>
  </r>
  <r>
    <n v="60"/>
    <s v="4-#7 WALL END DWLS"/>
    <m/>
    <n v="4"/>
    <x v="3"/>
    <x v="1"/>
    <n v="5.4130000000000003"/>
    <n v="44.256688000000004"/>
    <m/>
  </r>
  <r>
    <n v="61"/>
    <s v="4-#8 WALL END DWLS"/>
    <n v="10"/>
    <n v="4"/>
    <x v="6"/>
    <x v="1"/>
    <n v="5.4130000000000003"/>
    <n v="578.10839999999996"/>
    <m/>
  </r>
  <r>
    <n v="62"/>
    <s v="4-#9 WALL END DWLS"/>
    <n v="2"/>
    <n v="4"/>
    <x v="5"/>
    <x v="1"/>
    <n v="5.4130000000000003"/>
    <n v="147.2336"/>
    <m/>
  </r>
  <r>
    <n v="63"/>
    <s v="#4 @16&quot; DWLS"/>
    <n v="2"/>
    <n v="17"/>
    <x v="4"/>
    <x v="3"/>
    <n v="4"/>
    <n v="90.847999999999999"/>
    <m/>
  </r>
  <r>
    <n v="64"/>
    <s v="#4 @16&quot; DWLS"/>
    <n v="2"/>
    <n v="17"/>
    <x v="4"/>
    <x v="3"/>
    <n v="4"/>
    <n v="90.847999999999999"/>
    <m/>
  </r>
  <r>
    <n v="65"/>
    <s v="#4 @16&quot; DWLS"/>
    <m/>
    <n v="431"/>
    <x v="4"/>
    <x v="3"/>
    <n v="4"/>
    <n v="1151.6320000000001"/>
    <m/>
  </r>
  <r>
    <n v="66"/>
    <s v="#5 @12&quot; SLAB DWLS"/>
    <n v="2"/>
    <n v="672"/>
    <x v="1"/>
    <x v="3"/>
    <n v="6"/>
    <n v="8410.7519999999986"/>
    <m/>
  </r>
  <r>
    <n v="67"/>
    <s v="#5 @12&quot; DWLS EF"/>
    <m/>
    <n v="574"/>
    <x v="1"/>
    <x v="3"/>
    <n v="5.4130000000000003"/>
    <n v="3240.6656659999999"/>
    <m/>
  </r>
  <r>
    <n v="68"/>
    <s v="#5 @12&quot; DWLS EF"/>
    <m/>
    <n v="60"/>
    <x v="1"/>
    <x v="3"/>
    <n v="5.4130000000000003"/>
    <n v="338.74554000000001"/>
    <m/>
  </r>
  <r>
    <n v="69"/>
    <m/>
    <m/>
    <m/>
    <x v="0"/>
    <x v="0"/>
    <m/>
    <n v="0"/>
    <m/>
  </r>
  <r>
    <n v="70"/>
    <m/>
    <m/>
    <m/>
    <x v="0"/>
    <x v="0"/>
    <m/>
    <n v="0"/>
    <m/>
  </r>
  <r>
    <n v="71"/>
    <m/>
    <m/>
    <m/>
    <x v="0"/>
    <x v="0"/>
    <m/>
    <n v="0"/>
    <m/>
  </r>
  <r>
    <n v="72"/>
    <m/>
    <m/>
    <m/>
    <x v="0"/>
    <x v="0"/>
    <m/>
    <n v="0"/>
    <m/>
  </r>
  <r>
    <n v="73"/>
    <m/>
    <m/>
    <m/>
    <x v="0"/>
    <x v="0"/>
    <m/>
    <n v="0"/>
    <m/>
  </r>
  <r>
    <n v="74"/>
    <m/>
    <m/>
    <m/>
    <x v="0"/>
    <x v="0"/>
    <m/>
    <n v="0"/>
    <m/>
  </r>
  <r>
    <n v="75"/>
    <m/>
    <m/>
    <m/>
    <x v="0"/>
    <x v="0"/>
    <m/>
    <n v="0"/>
    <m/>
  </r>
  <r>
    <n v="76"/>
    <m/>
    <m/>
    <m/>
    <x v="0"/>
    <x v="0"/>
    <m/>
    <n v="0"/>
    <m/>
  </r>
  <r>
    <n v="77"/>
    <m/>
    <m/>
    <m/>
    <x v="0"/>
    <x v="0"/>
    <m/>
    <n v="0"/>
    <m/>
  </r>
  <r>
    <n v="78"/>
    <m/>
    <m/>
    <m/>
    <x v="0"/>
    <x v="0"/>
    <m/>
    <n v="0"/>
    <m/>
  </r>
  <r>
    <n v="79"/>
    <m/>
    <m/>
    <m/>
    <x v="0"/>
    <x v="0"/>
    <m/>
    <n v="0"/>
    <m/>
  </r>
  <r>
    <n v="80"/>
    <m/>
    <m/>
    <m/>
    <x v="0"/>
    <x v="0"/>
    <m/>
    <n v="0"/>
    <m/>
  </r>
  <r>
    <n v="81"/>
    <m/>
    <m/>
    <m/>
    <x v="0"/>
    <x v="0"/>
    <m/>
    <n v="0"/>
    <m/>
  </r>
  <r>
    <n v="82"/>
    <m/>
    <m/>
    <m/>
    <x v="0"/>
    <x v="0"/>
    <m/>
    <n v="0"/>
    <m/>
  </r>
  <r>
    <n v="83"/>
    <m/>
    <m/>
    <m/>
    <x v="0"/>
    <x v="0"/>
    <m/>
    <n v="0"/>
    <m/>
  </r>
  <r>
    <n v="84"/>
    <m/>
    <m/>
    <m/>
    <x v="0"/>
    <x v="0"/>
    <m/>
    <n v="0"/>
    <m/>
  </r>
  <r>
    <n v="85"/>
    <m/>
    <m/>
    <m/>
    <x v="0"/>
    <x v="0"/>
    <m/>
    <n v="0"/>
    <m/>
  </r>
  <r>
    <n v="86"/>
    <m/>
    <m/>
    <m/>
    <x v="0"/>
    <x v="0"/>
    <m/>
    <n v="0"/>
    <m/>
  </r>
  <r>
    <n v="87"/>
    <m/>
    <m/>
    <m/>
    <x v="0"/>
    <x v="0"/>
    <m/>
    <n v="0"/>
    <m/>
  </r>
  <r>
    <n v="88"/>
    <m/>
    <m/>
    <m/>
    <x v="0"/>
    <x v="0"/>
    <m/>
    <n v="0"/>
    <m/>
  </r>
  <r>
    <n v="89"/>
    <m/>
    <m/>
    <m/>
    <x v="0"/>
    <x v="0"/>
    <m/>
    <n v="0"/>
    <m/>
  </r>
  <r>
    <n v="90"/>
    <m/>
    <m/>
    <m/>
    <x v="0"/>
    <x v="0"/>
    <m/>
    <n v="0"/>
    <m/>
  </r>
  <r>
    <n v="91"/>
    <m/>
    <m/>
    <m/>
    <x v="0"/>
    <x v="0"/>
    <m/>
    <n v="0"/>
    <m/>
  </r>
  <r>
    <n v="92"/>
    <m/>
    <m/>
    <m/>
    <x v="0"/>
    <x v="0"/>
    <m/>
    <n v="0"/>
    <m/>
  </r>
  <r>
    <n v="93"/>
    <m/>
    <m/>
    <m/>
    <x v="0"/>
    <x v="0"/>
    <m/>
    <n v="0"/>
    <m/>
  </r>
  <r>
    <n v="94"/>
    <m/>
    <m/>
    <m/>
    <x v="0"/>
    <x v="0"/>
    <m/>
    <n v="0"/>
    <m/>
  </r>
  <r>
    <n v="95"/>
    <m/>
    <m/>
    <m/>
    <x v="0"/>
    <x v="0"/>
    <m/>
    <n v="0"/>
    <m/>
  </r>
  <r>
    <n v="96"/>
    <m/>
    <m/>
    <m/>
    <x v="0"/>
    <x v="0"/>
    <m/>
    <n v="0"/>
    <m/>
  </r>
  <r>
    <n v="97"/>
    <m/>
    <m/>
    <m/>
    <x v="0"/>
    <x v="0"/>
    <m/>
    <n v="0"/>
    <m/>
  </r>
  <r>
    <n v="98"/>
    <m/>
    <m/>
    <m/>
    <x v="0"/>
    <x v="0"/>
    <m/>
    <n v="0"/>
    <m/>
  </r>
  <r>
    <n v="99"/>
    <m/>
    <m/>
    <m/>
    <x v="0"/>
    <x v="0"/>
    <m/>
    <n v="0"/>
    <m/>
  </r>
  <r>
    <n v="100"/>
    <m/>
    <m/>
    <m/>
    <x v="0"/>
    <x v="0"/>
    <m/>
    <n v="0"/>
    <m/>
  </r>
  <r>
    <m/>
    <m/>
    <m/>
    <m/>
    <x v="0"/>
    <x v="0"/>
    <s v="Total Weight"/>
    <n v="37865.1463760000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n v="1"/>
    <s v="SHT.NO: S-2  FOUNDATION  PLAN"/>
    <m/>
    <m/>
    <x v="0"/>
    <x v="0"/>
    <m/>
    <n v="0"/>
    <m/>
  </r>
  <r>
    <n v="2"/>
    <s v="5&quot; THK SLAB ON GRADE[AREA=17678 SQ.FT]"/>
    <m/>
    <m/>
    <x v="0"/>
    <x v="0"/>
    <m/>
    <n v="0"/>
    <m/>
  </r>
  <r>
    <n v="3"/>
    <s v="#4 @16&quot; BOT EW"/>
    <m/>
    <n v="732"/>
    <x v="1"/>
    <x v="1"/>
    <n v="40"/>
    <n v="19559.04"/>
    <m/>
  </r>
  <r>
    <n v="4"/>
    <s v="#4 @16&quot; SLAB DWLS"/>
    <m/>
    <n v="325"/>
    <x v="1"/>
    <x v="2"/>
    <n v="4"/>
    <n v="868.40000000000009"/>
    <m/>
  </r>
  <r>
    <n v="5"/>
    <s v="THICKENED FTGS"/>
    <m/>
    <m/>
    <x v="0"/>
    <x v="0"/>
    <m/>
    <n v="0"/>
    <m/>
  </r>
  <r>
    <n v="6"/>
    <s v="5#5 BOT LW"/>
    <n v="4"/>
    <n v="5"/>
    <x v="2"/>
    <x v="1"/>
    <n v="40"/>
    <n v="834.4"/>
    <m/>
  </r>
  <r>
    <n v="7"/>
    <s v="&quot;"/>
    <m/>
    <n v="5"/>
    <x v="2"/>
    <x v="3"/>
    <n v="17"/>
    <n v="88.654999999999987"/>
    <m/>
  </r>
  <r>
    <n v="8"/>
    <s v="#5 @ 12&quot; SW"/>
    <m/>
    <n v="165"/>
    <x v="2"/>
    <x v="3"/>
    <n v="3.67"/>
    <n v="631.58864999999992"/>
    <m/>
  </r>
  <r>
    <n v="9"/>
    <s v="6#7  Z-BAR"/>
    <n v="8"/>
    <n v="6"/>
    <x v="3"/>
    <x v="2"/>
    <n v="13"/>
    <n v="1275.4559999999999"/>
    <m/>
  </r>
  <r>
    <n v="10"/>
    <s v="8&quot; THK ELEVATOR PIT SLAB"/>
    <m/>
    <m/>
    <x v="0"/>
    <x v="0"/>
    <m/>
    <n v="0"/>
    <m/>
  </r>
  <r>
    <n v="11"/>
    <s v="(SEC:S-11/15)"/>
    <m/>
    <m/>
    <x v="0"/>
    <x v="0"/>
    <m/>
    <n v="0"/>
    <m/>
  </r>
  <r>
    <n v="12"/>
    <s v="#4 @12&quot; SW"/>
    <n v="2"/>
    <n v="12"/>
    <x v="1"/>
    <x v="3"/>
    <n v="7.6660000000000004"/>
    <n v="122.90131200000002"/>
    <m/>
  </r>
  <r>
    <n v="13"/>
    <s v="#4 @12&quot; LW"/>
    <n v="2"/>
    <n v="9"/>
    <x v="1"/>
    <x v="3"/>
    <n v="10.496"/>
    <n v="126.20390400000001"/>
    <m/>
  </r>
  <r>
    <n v="14"/>
    <s v="8&quot; THK SUMP PIT (SEC:15/S-11) (2LOCS)"/>
    <m/>
    <m/>
    <x v="0"/>
    <x v="0"/>
    <m/>
    <n v="0"/>
    <m/>
  </r>
  <r>
    <n v="15"/>
    <s v="#5 @12&quot; D/V"/>
    <n v="2"/>
    <n v="16"/>
    <x v="2"/>
    <x v="2"/>
    <n v="11.02"/>
    <n v="367.80351999999993"/>
    <m/>
  </r>
  <r>
    <n v="16"/>
    <s v="#4 @12&quot; HORZ"/>
    <n v="2"/>
    <n v="32"/>
    <x v="1"/>
    <x v="3"/>
    <n v="3.42"/>
    <n v="146.21184"/>
    <m/>
  </r>
  <r>
    <n v="17"/>
    <s v="#4 @12&quot; COR BAR"/>
    <n v="2"/>
    <n v="32"/>
    <x v="1"/>
    <x v="2"/>
    <n v="6.4"/>
    <n v="273.61280000000005"/>
    <m/>
  </r>
  <r>
    <n v="18"/>
    <s v="#4 @12&quot; DWLS"/>
    <n v="2"/>
    <n v="16"/>
    <x v="1"/>
    <x v="2"/>
    <n v="6"/>
    <n v="128.256"/>
    <m/>
  </r>
  <r>
    <n v="19"/>
    <m/>
    <m/>
    <m/>
    <x v="0"/>
    <x v="0"/>
    <m/>
    <n v="0"/>
    <m/>
  </r>
  <r>
    <n v="20"/>
    <m/>
    <m/>
    <m/>
    <x v="0"/>
    <x v="0"/>
    <m/>
    <n v="0"/>
    <m/>
  </r>
  <r>
    <n v="21"/>
    <m/>
    <m/>
    <m/>
    <x v="0"/>
    <x v="0"/>
    <m/>
    <n v="0"/>
    <m/>
  </r>
  <r>
    <n v="22"/>
    <m/>
    <m/>
    <m/>
    <x v="0"/>
    <x v="0"/>
    <m/>
    <n v="0"/>
    <m/>
  </r>
  <r>
    <n v="23"/>
    <m/>
    <m/>
    <m/>
    <x v="0"/>
    <x v="0"/>
    <m/>
    <n v="0"/>
    <m/>
  </r>
  <r>
    <n v="24"/>
    <m/>
    <m/>
    <m/>
    <x v="0"/>
    <x v="0"/>
    <m/>
    <n v="0"/>
    <m/>
  </r>
  <r>
    <n v="25"/>
    <m/>
    <m/>
    <m/>
    <x v="0"/>
    <x v="0"/>
    <m/>
    <n v="0"/>
    <m/>
  </r>
  <r>
    <n v="26"/>
    <m/>
    <m/>
    <m/>
    <x v="0"/>
    <x v="0"/>
    <m/>
    <n v="0"/>
    <m/>
  </r>
  <r>
    <n v="27"/>
    <m/>
    <m/>
    <m/>
    <x v="0"/>
    <x v="0"/>
    <m/>
    <n v="0"/>
    <m/>
  </r>
  <r>
    <n v="28"/>
    <m/>
    <m/>
    <m/>
    <x v="0"/>
    <x v="0"/>
    <m/>
    <n v="0"/>
    <m/>
  </r>
  <r>
    <n v="29"/>
    <m/>
    <m/>
    <m/>
    <x v="0"/>
    <x v="0"/>
    <m/>
    <n v="0"/>
    <m/>
  </r>
  <r>
    <n v="30"/>
    <m/>
    <m/>
    <m/>
    <x v="0"/>
    <x v="0"/>
    <m/>
    <n v="0"/>
    <m/>
  </r>
  <r>
    <n v="31"/>
    <m/>
    <m/>
    <m/>
    <x v="0"/>
    <x v="0"/>
    <m/>
    <n v="0"/>
    <m/>
  </r>
  <r>
    <n v="32"/>
    <m/>
    <m/>
    <m/>
    <x v="0"/>
    <x v="0"/>
    <m/>
    <n v="0"/>
    <m/>
  </r>
  <r>
    <n v="33"/>
    <m/>
    <m/>
    <m/>
    <x v="0"/>
    <x v="0"/>
    <m/>
    <n v="0"/>
    <m/>
  </r>
  <r>
    <n v="34"/>
    <m/>
    <m/>
    <m/>
    <x v="0"/>
    <x v="0"/>
    <m/>
    <n v="0"/>
    <m/>
  </r>
  <r>
    <n v="35"/>
    <m/>
    <m/>
    <m/>
    <x v="0"/>
    <x v="0"/>
    <m/>
    <n v="0"/>
    <m/>
  </r>
  <r>
    <n v="36"/>
    <m/>
    <m/>
    <m/>
    <x v="0"/>
    <x v="0"/>
    <m/>
    <n v="0"/>
    <m/>
  </r>
  <r>
    <n v="37"/>
    <m/>
    <m/>
    <m/>
    <x v="0"/>
    <x v="0"/>
    <m/>
    <n v="0"/>
    <m/>
  </r>
  <r>
    <n v="38"/>
    <m/>
    <m/>
    <m/>
    <x v="0"/>
    <x v="0"/>
    <m/>
    <n v="0"/>
    <m/>
  </r>
  <r>
    <n v="39"/>
    <m/>
    <m/>
    <m/>
    <x v="0"/>
    <x v="0"/>
    <m/>
    <n v="0"/>
    <m/>
  </r>
  <r>
    <n v="40"/>
    <m/>
    <m/>
    <m/>
    <x v="0"/>
    <x v="0"/>
    <m/>
    <n v="0"/>
    <m/>
  </r>
  <r>
    <n v="41"/>
    <m/>
    <m/>
    <m/>
    <x v="0"/>
    <x v="0"/>
    <m/>
    <n v="0"/>
    <m/>
  </r>
  <r>
    <n v="42"/>
    <m/>
    <m/>
    <m/>
    <x v="0"/>
    <x v="0"/>
    <m/>
    <n v="0"/>
    <m/>
  </r>
  <r>
    <n v="43"/>
    <m/>
    <m/>
    <m/>
    <x v="0"/>
    <x v="0"/>
    <m/>
    <n v="0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24422.52902600000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1">
  <r>
    <n v="1"/>
    <s v="SHEET NO:S2 FOUNDATION PLAN "/>
    <m/>
    <m/>
    <x v="0"/>
    <x v="0"/>
    <m/>
    <n v="0"/>
    <m/>
  </r>
  <r>
    <n v="2"/>
    <s v="12&quot;x 24&quot; CONC. COLUMN (SEC: 7/S-11)F8"/>
    <m/>
    <m/>
    <x v="0"/>
    <x v="0"/>
    <m/>
    <n v="0"/>
    <m/>
  </r>
  <r>
    <n v="3"/>
    <s v="(P2/LVL:134.50 TO P1/LVL:144.40)"/>
    <m/>
    <m/>
    <x v="0"/>
    <x v="0"/>
    <m/>
    <n v="0"/>
    <m/>
  </r>
  <r>
    <n v="4"/>
    <s v="6- #10 VERTS"/>
    <m/>
    <n v="6"/>
    <x v="1"/>
    <x v="1"/>
    <n v="14.990000000000006"/>
    <n v="387.01182000000017"/>
    <m/>
  </r>
  <r>
    <n v="5"/>
    <s v="#3 @4&quot; TIES"/>
    <m/>
    <n v="28"/>
    <x v="2"/>
    <x v="2"/>
    <n v="5.66"/>
    <n v="59.588480000000004"/>
    <m/>
  </r>
  <r>
    <n v="6"/>
    <s v="#3 @4&quot; H-PINS"/>
    <m/>
    <n v="28"/>
    <x v="2"/>
    <x v="2"/>
    <n v="1.42"/>
    <n v="14.949759999999998"/>
    <m/>
  </r>
  <r>
    <n v="7"/>
    <s v="(P1/LVL:144.40 TO 1ST FLR LVL:155.70)"/>
    <m/>
    <m/>
    <x v="0"/>
    <x v="0"/>
    <m/>
    <n v="0"/>
    <m/>
  </r>
  <r>
    <n v="8"/>
    <s v="6- #10 VERTS"/>
    <m/>
    <n v="6"/>
    <x v="1"/>
    <x v="1"/>
    <n v="15.479999999999983"/>
    <n v="399.66263999999956"/>
    <m/>
  </r>
  <r>
    <n v="9"/>
    <s v="#3 @4&quot; TIES"/>
    <m/>
    <n v="29"/>
    <x v="2"/>
    <x v="2"/>
    <n v="5.66"/>
    <n v="61.716640000000005"/>
    <m/>
  </r>
  <r>
    <n v="10"/>
    <s v="#3 @4&quot; H-PINS"/>
    <m/>
    <n v="29"/>
    <x v="2"/>
    <x v="2"/>
    <n v="1.42"/>
    <n v="15.483679999999998"/>
    <m/>
  </r>
  <r>
    <n v="11"/>
    <s v="(1ST FLR LVL:155.70 TO 2ND FLR LVL:168.75)"/>
    <m/>
    <m/>
    <x v="0"/>
    <x v="0"/>
    <m/>
    <n v="0"/>
    <m/>
  </r>
  <r>
    <n v="12"/>
    <s v="6- #10 VERTS H1E"/>
    <m/>
    <n v="6"/>
    <x v="1"/>
    <x v="2"/>
    <n v="14.730000000000011"/>
    <n v="380.29914000000031"/>
    <m/>
  </r>
  <r>
    <n v="13"/>
    <s v="#3 @4&quot; TIES"/>
    <m/>
    <n v="34"/>
    <x v="2"/>
    <x v="2"/>
    <n v="5.66"/>
    <n v="72.357440000000011"/>
    <m/>
  </r>
  <r>
    <n v="14"/>
    <s v="#3 @4&quot; H-PINS"/>
    <m/>
    <n v="34"/>
    <x v="2"/>
    <x v="2"/>
    <n v="1.42"/>
    <n v="18.153279999999999"/>
    <m/>
  </r>
  <r>
    <n v="15"/>
    <s v="12&quot;x 24&quot; CONC. COLUMN (SEC: 7/S-11)F8"/>
    <m/>
    <m/>
    <x v="0"/>
    <x v="0"/>
    <m/>
    <n v="0"/>
    <m/>
  </r>
  <r>
    <n v="16"/>
    <s v="(P2/LVL:135.80 TO P1/LVL:145.80)"/>
    <m/>
    <m/>
    <x v="0"/>
    <x v="0"/>
    <m/>
    <n v="0"/>
    <m/>
  </r>
  <r>
    <n v="17"/>
    <s v="6- #10 VERTS"/>
    <m/>
    <n v="6"/>
    <x v="1"/>
    <x v="1"/>
    <n v="15.09"/>
    <n v="389.59361999999999"/>
    <m/>
  </r>
  <r>
    <n v="18"/>
    <s v="#3 @4&quot; TIES"/>
    <m/>
    <n v="28"/>
    <x v="2"/>
    <x v="2"/>
    <n v="5.66"/>
    <n v="59.588480000000004"/>
    <m/>
  </r>
  <r>
    <n v="19"/>
    <s v="#3 @4&quot; H-PINS"/>
    <m/>
    <n v="28"/>
    <x v="2"/>
    <x v="2"/>
    <n v="1.42"/>
    <n v="14.949759999999998"/>
    <m/>
  </r>
  <r>
    <n v="20"/>
    <s v="(P1/LVL:145.80 TO 1ST FLR /LVL:155.70)"/>
    <m/>
    <m/>
    <x v="0"/>
    <x v="0"/>
    <m/>
    <n v="0"/>
    <m/>
  </r>
  <r>
    <n v="21"/>
    <s v="6- #10 VERTS"/>
    <m/>
    <n v="6"/>
    <x v="1"/>
    <x v="1"/>
    <n v="14.079999999999977"/>
    <n v="363.5174399999994"/>
    <m/>
  </r>
  <r>
    <n v="22"/>
    <s v="#3 @4&quot; TIES"/>
    <m/>
    <n v="25"/>
    <x v="2"/>
    <x v="2"/>
    <n v="5.66"/>
    <n v="53.204000000000008"/>
    <m/>
  </r>
  <r>
    <n v="23"/>
    <s v="#3 @4&quot; H-PINS"/>
    <m/>
    <n v="25"/>
    <x v="2"/>
    <x v="2"/>
    <n v="1.42"/>
    <n v="13.347999999999999"/>
    <m/>
  </r>
  <r>
    <n v="24"/>
    <s v="(1ST FLR/LVL:155.70 TO 2ND FLR LVL:168.75)"/>
    <m/>
    <m/>
    <x v="0"/>
    <x v="0"/>
    <m/>
    <n v="0"/>
    <m/>
  </r>
  <r>
    <n v="25"/>
    <s v="6- #10 VERTS H1E"/>
    <m/>
    <n v="6"/>
    <x v="1"/>
    <x v="2"/>
    <n v="14.730000000000011"/>
    <n v="380.29914000000031"/>
    <m/>
  </r>
  <r>
    <n v="26"/>
    <s v="#3 @4&quot; TIES"/>
    <m/>
    <n v="34"/>
    <x v="2"/>
    <x v="2"/>
    <n v="5.66"/>
    <n v="72.357440000000011"/>
    <m/>
  </r>
  <r>
    <n v="27"/>
    <s v="#3 @4&quot; H-PINS"/>
    <m/>
    <n v="34"/>
    <x v="2"/>
    <x v="2"/>
    <n v="1.42"/>
    <n v="18.153279999999999"/>
    <m/>
  </r>
  <r>
    <n v="28"/>
    <s v="12&quot;x 24&quot; CONC. COLUMN (SEC: 7/S-11)F8"/>
    <m/>
    <m/>
    <x v="0"/>
    <x v="0"/>
    <m/>
    <n v="0"/>
    <m/>
  </r>
  <r>
    <n v="29"/>
    <s v="(P2/LVL:137.20 TO P1/LVL:147.20)"/>
    <m/>
    <m/>
    <x v="0"/>
    <x v="0"/>
    <m/>
    <n v="0"/>
    <m/>
  </r>
  <r>
    <n v="30"/>
    <s v="6- #10 VERTS"/>
    <m/>
    <n v="6"/>
    <x v="1"/>
    <x v="1"/>
    <n v="15.09"/>
    <n v="389.59361999999999"/>
    <m/>
  </r>
  <r>
    <n v="31"/>
    <s v="#3 @4&quot; TIES"/>
    <m/>
    <n v="28"/>
    <x v="2"/>
    <x v="2"/>
    <n v="5.66"/>
    <n v="59.588480000000004"/>
    <m/>
  </r>
  <r>
    <n v="32"/>
    <s v="#3 @4&quot; H-PINS"/>
    <m/>
    <n v="28"/>
    <x v="2"/>
    <x v="2"/>
    <n v="1.42"/>
    <n v="14.949759999999998"/>
    <m/>
  </r>
  <r>
    <n v="33"/>
    <s v="(P1/LVL:147.20 TO 1ST FLR /LVL:156.35)"/>
    <m/>
    <m/>
    <x v="0"/>
    <x v="0"/>
    <m/>
    <n v="0"/>
    <m/>
  </r>
  <r>
    <n v="34"/>
    <s v="6- #10 VERTS"/>
    <m/>
    <n v="6"/>
    <x v="1"/>
    <x v="1"/>
    <n v="14.079999999999977"/>
    <n v="363.5174399999994"/>
    <m/>
  </r>
  <r>
    <n v="35"/>
    <s v="#3 @4&quot; TIES"/>
    <m/>
    <n v="22"/>
    <x v="2"/>
    <x v="2"/>
    <n v="5.66"/>
    <n v="46.819520000000004"/>
    <m/>
  </r>
  <r>
    <n v="36"/>
    <s v="#3 @4&quot; H-PINS"/>
    <m/>
    <n v="22"/>
    <x v="2"/>
    <x v="2"/>
    <n v="1.42"/>
    <n v="11.746239999999998"/>
    <m/>
  </r>
  <r>
    <n v="37"/>
    <s v="(1ST FLR LVL:156.35 TO 2ND FLR LVL:168.75)"/>
    <m/>
    <m/>
    <x v="0"/>
    <x v="0"/>
    <m/>
    <n v="0"/>
    <m/>
  </r>
  <r>
    <n v="38"/>
    <s v="6- #10 VERTS H1E"/>
    <m/>
    <n v="6"/>
    <x v="1"/>
    <x v="2"/>
    <n v="14.730000000000011"/>
    <n v="380.29914000000031"/>
    <m/>
  </r>
  <r>
    <n v="39"/>
    <s v="#3 @4&quot; TIES"/>
    <m/>
    <n v="32"/>
    <x v="2"/>
    <x v="2"/>
    <n v="5.66"/>
    <n v="68.101120000000009"/>
    <m/>
  </r>
  <r>
    <n v="40"/>
    <s v="#3 @4&quot; H-PINS"/>
    <m/>
    <n v="32"/>
    <x v="2"/>
    <x v="2"/>
    <n v="1.42"/>
    <n v="17.085439999999998"/>
    <m/>
  </r>
  <r>
    <n v="41"/>
    <s v="12&quot;x 24&quot; CONC. COLUMN (SEC: 7/S-11)F8"/>
    <m/>
    <m/>
    <x v="0"/>
    <x v="0"/>
    <m/>
    <n v="0"/>
    <m/>
  </r>
  <r>
    <n v="42"/>
    <s v="(P2/LVL:134.50 TO P1/LVL:144.40)"/>
    <m/>
    <m/>
    <x v="0"/>
    <x v="0"/>
    <m/>
    <n v="0"/>
    <m/>
  </r>
  <r>
    <n v="43"/>
    <s v="6- #10 VERTS"/>
    <m/>
    <n v="6"/>
    <x v="1"/>
    <x v="1"/>
    <n v="14.990000000000006"/>
    <n v="387.01182000000017"/>
    <m/>
  </r>
  <r>
    <n v="44"/>
    <s v="#3 @4&quot; TIES"/>
    <m/>
    <n v="28"/>
    <x v="2"/>
    <x v="2"/>
    <n v="5.66"/>
    <n v="59.588480000000004"/>
    <m/>
  </r>
  <r>
    <n v="45"/>
    <s v="#3 @4&quot; H-PINS"/>
    <m/>
    <n v="28"/>
    <x v="2"/>
    <x v="2"/>
    <n v="1.42"/>
    <n v="14.949759999999998"/>
    <m/>
  </r>
  <r>
    <n v="46"/>
    <s v="(P1/LVL:144.40 TO 1ST FLR LVL:155.70)"/>
    <m/>
    <m/>
    <x v="0"/>
    <x v="0"/>
    <m/>
    <n v="0"/>
    <m/>
  </r>
  <r>
    <n v="47"/>
    <s v="6- #10 VERTS"/>
    <m/>
    <n v="6"/>
    <x v="1"/>
    <x v="1"/>
    <n v="15.479999999999983"/>
    <n v="399.66263999999956"/>
    <m/>
  </r>
  <r>
    <n v="48"/>
    <s v="#3 @4&quot; TIES"/>
    <m/>
    <n v="29"/>
    <x v="2"/>
    <x v="2"/>
    <n v="5.66"/>
    <n v="61.716640000000005"/>
    <m/>
  </r>
  <r>
    <n v="49"/>
    <s v="#3 @4&quot; H-PINS"/>
    <m/>
    <n v="29"/>
    <x v="2"/>
    <x v="2"/>
    <n v="1.42"/>
    <n v="15.483679999999998"/>
    <m/>
  </r>
  <r>
    <n v="50"/>
    <m/>
    <m/>
    <m/>
    <x v="0"/>
    <x v="0"/>
    <m/>
    <n v="0"/>
    <m/>
  </r>
  <r>
    <n v="51"/>
    <s v="(1ST FLR LVL:155.70 TO 2ND FLRLVL:168.75)"/>
    <m/>
    <m/>
    <x v="0"/>
    <x v="0"/>
    <m/>
    <n v="0"/>
    <m/>
  </r>
  <r>
    <n v="52"/>
    <s v="6- #10 VERTS H1E"/>
    <m/>
    <n v="6"/>
    <x v="1"/>
    <x v="2"/>
    <n v="12.730000000000011"/>
    <n v="328.66314000000028"/>
    <m/>
  </r>
  <r>
    <n v="53"/>
    <s v="#3 @4&quot; TIES"/>
    <m/>
    <n v="34"/>
    <x v="2"/>
    <x v="2"/>
    <n v="5.66"/>
    <n v="72.357440000000011"/>
    <m/>
  </r>
  <r>
    <n v="54"/>
    <s v="#3 @4&quot; H-PINS"/>
    <m/>
    <n v="34"/>
    <x v="2"/>
    <x v="2"/>
    <n v="1.42"/>
    <n v="18.153279999999999"/>
    <m/>
  </r>
  <r>
    <n v="55"/>
    <s v="12&quot;x 24&quot; CONC. COLUMN (SEC: 7/S-11)F8"/>
    <m/>
    <m/>
    <x v="0"/>
    <x v="0"/>
    <m/>
    <n v="0"/>
    <m/>
  </r>
  <r>
    <n v="56"/>
    <s v="(P2/LVL:135.90 TO P1/LVL:145.80)"/>
    <m/>
    <m/>
    <x v="0"/>
    <x v="0"/>
    <m/>
    <n v="0"/>
    <m/>
  </r>
  <r>
    <n v="57"/>
    <s v="6- #10 VERTS"/>
    <m/>
    <n v="6"/>
    <x v="1"/>
    <x v="1"/>
    <n v="14.990000000000006"/>
    <n v="387.01182000000017"/>
    <m/>
  </r>
  <r>
    <n v="58"/>
    <s v="#3 @4&quot; TIES"/>
    <m/>
    <n v="28"/>
    <x v="2"/>
    <x v="2"/>
    <n v="5.66"/>
    <n v="59.588480000000004"/>
    <m/>
  </r>
  <r>
    <n v="59"/>
    <s v="#3 @4&quot; H-PINS"/>
    <m/>
    <n v="28"/>
    <x v="2"/>
    <x v="2"/>
    <n v="1.42"/>
    <n v="14.949759999999998"/>
    <m/>
  </r>
  <r>
    <n v="60"/>
    <s v="(P1/LVL:145.80 TO 1ST FLR LVL:156.90)"/>
    <m/>
    <m/>
    <x v="0"/>
    <x v="0"/>
    <m/>
    <n v="0"/>
    <m/>
  </r>
  <r>
    <n v="61"/>
    <s v="6- #10 VERTS "/>
    <m/>
    <n v="6"/>
    <x v="1"/>
    <x v="1"/>
    <n v="15.279999999999994"/>
    <n v="394.49903999999987"/>
    <m/>
  </r>
  <r>
    <n v="62"/>
    <s v="#3 @4&quot; TIES"/>
    <m/>
    <n v="28"/>
    <x v="2"/>
    <x v="2"/>
    <n v="5.66"/>
    <n v="59.588480000000004"/>
    <m/>
  </r>
  <r>
    <n v="63"/>
    <s v="#3 @4&quot; H-PINS"/>
    <m/>
    <n v="28"/>
    <x v="2"/>
    <x v="2"/>
    <n v="1.42"/>
    <n v="14.949759999999998"/>
    <m/>
  </r>
  <r>
    <n v="64"/>
    <s v="(1ST FLR LVL:156.90 TO 2ND FLR LVL:168.75)"/>
    <m/>
    <m/>
    <x v="0"/>
    <x v="0"/>
    <m/>
    <n v="0"/>
    <m/>
  </r>
  <r>
    <n v="65"/>
    <s v="6- #10 VERTS H1E"/>
    <m/>
    <n v="6"/>
    <x v="1"/>
    <x v="2"/>
    <n v="13.529999999999994"/>
    <n v="349.31753999999984"/>
    <m/>
  </r>
  <r>
    <n v="66"/>
    <s v="#3 @4&quot; TIES"/>
    <m/>
    <n v="30"/>
    <x v="2"/>
    <x v="2"/>
    <n v="5.66"/>
    <n v="63.844800000000006"/>
    <m/>
  </r>
  <r>
    <n v="67"/>
    <s v="#3 @4&quot; H-PINS"/>
    <m/>
    <n v="30"/>
    <x v="2"/>
    <x v="2"/>
    <n v="1.42"/>
    <n v="16.017599999999998"/>
    <m/>
  </r>
  <r>
    <n v="68"/>
    <s v="12&quot;x 24&quot; CONC. COLUMN (SEC: 7/S-11)F8"/>
    <m/>
    <m/>
    <x v="0"/>
    <x v="0"/>
    <m/>
    <n v="0"/>
    <m/>
  </r>
  <r>
    <n v="69"/>
    <s v="(P2/LVL:135.90 TO P1/LVL:145.80)"/>
    <m/>
    <m/>
    <x v="0"/>
    <x v="0"/>
    <m/>
    <n v="0"/>
    <m/>
  </r>
  <r>
    <n v="70"/>
    <s v="6- #10 VERTS"/>
    <m/>
    <n v="6"/>
    <x v="1"/>
    <x v="1"/>
    <n v="14.990000000000006"/>
    <n v="387.01182000000017"/>
    <m/>
  </r>
  <r>
    <n v="71"/>
    <s v="#3 @4&quot; TIES"/>
    <m/>
    <n v="28"/>
    <x v="2"/>
    <x v="2"/>
    <n v="5.66"/>
    <n v="59.588480000000004"/>
    <m/>
  </r>
  <r>
    <n v="72"/>
    <s v="#3 @4&quot; H-PINS"/>
    <m/>
    <n v="28"/>
    <x v="2"/>
    <x v="2"/>
    <n v="1.42"/>
    <n v="14.949759999999998"/>
    <m/>
  </r>
  <r>
    <n v="73"/>
    <s v="(P1/LVL:145.80 TO 1ST FLR LVL:156.90)"/>
    <m/>
    <m/>
    <x v="0"/>
    <x v="0"/>
    <m/>
    <n v="0"/>
    <m/>
  </r>
  <r>
    <n v="74"/>
    <s v="6- #10 VERTS"/>
    <m/>
    <n v="6"/>
    <x v="1"/>
    <x v="1"/>
    <n v="15.279999999999994"/>
    <n v="394.49903999999987"/>
    <m/>
  </r>
  <r>
    <n v="75"/>
    <s v="#3 @4&quot; TIES"/>
    <m/>
    <n v="25"/>
    <x v="2"/>
    <x v="2"/>
    <n v="5.66"/>
    <n v="53.204000000000008"/>
    <m/>
  </r>
  <r>
    <n v="76"/>
    <s v="#3 @4&quot; H-PINS"/>
    <m/>
    <n v="25"/>
    <x v="2"/>
    <x v="2"/>
    <n v="1.42"/>
    <n v="13.347999999999999"/>
    <m/>
  </r>
  <r>
    <n v="77"/>
    <s v="(1ST FLR LVL:156.90 TO 2ND FLR LVL:168.75)"/>
    <m/>
    <m/>
    <x v="0"/>
    <x v="0"/>
    <m/>
    <n v="0"/>
    <m/>
  </r>
  <r>
    <n v="78"/>
    <s v="6- #10 VERTS H1E"/>
    <m/>
    <n v="6"/>
    <x v="1"/>
    <x v="2"/>
    <n v="13.529999999999994"/>
    <n v="349.31753999999984"/>
    <m/>
  </r>
  <r>
    <n v="79"/>
    <s v="#3 @4&quot; TIES"/>
    <m/>
    <n v="30"/>
    <x v="2"/>
    <x v="2"/>
    <n v="5.66"/>
    <n v="63.844800000000006"/>
    <m/>
  </r>
  <r>
    <n v="80"/>
    <s v="#3 @4&quot; H-PINS"/>
    <m/>
    <n v="30"/>
    <x v="2"/>
    <x v="2"/>
    <n v="1.42"/>
    <n v="16.017599999999998"/>
    <m/>
  </r>
  <r>
    <n v="81"/>
    <s v="12&quot;x 24&quot; CONC. COLUMN (SEC: 7/S-11)F6"/>
    <m/>
    <m/>
    <x v="0"/>
    <x v="0"/>
    <m/>
    <n v="0"/>
    <m/>
  </r>
  <r>
    <n v="82"/>
    <s v="(P2/LVL:134.50 TO P1/LVL:144.40)"/>
    <m/>
    <m/>
    <x v="0"/>
    <x v="0"/>
    <m/>
    <n v="0"/>
    <m/>
  </r>
  <r>
    <n v="83"/>
    <s v="6- #9 VERTS"/>
    <m/>
    <n v="6"/>
    <x v="3"/>
    <x v="1"/>
    <n v="14.990000000000006"/>
    <n v="305.79600000000011"/>
    <m/>
  </r>
  <r>
    <n v="84"/>
    <s v="#3 @4&quot; TIES"/>
    <m/>
    <n v="28"/>
    <x v="2"/>
    <x v="2"/>
    <n v="5.66"/>
    <n v="59.588480000000004"/>
    <m/>
  </r>
  <r>
    <n v="85"/>
    <s v="#3 @4&quot; H-PINS"/>
    <m/>
    <n v="28"/>
    <x v="2"/>
    <x v="2"/>
    <n v="1.42"/>
    <n v="14.949759999999998"/>
    <m/>
  </r>
  <r>
    <n v="86"/>
    <s v="(P1/LVL:144.40 TO 1ST FLR LVL:155.70)"/>
    <m/>
    <m/>
    <x v="0"/>
    <x v="0"/>
    <m/>
    <n v="0"/>
    <m/>
  </r>
  <r>
    <n v="87"/>
    <s v="6- #9 VERTS"/>
    <m/>
    <n v="6"/>
    <x v="3"/>
    <x v="1"/>
    <n v="15.479999999999983"/>
    <n v="315.79199999999963"/>
    <m/>
  </r>
  <r>
    <n v="88"/>
    <s v="#3 @4&quot; TIES"/>
    <m/>
    <n v="29"/>
    <x v="2"/>
    <x v="2"/>
    <n v="5.66"/>
    <n v="61.716640000000005"/>
    <m/>
  </r>
  <r>
    <n v="89"/>
    <s v="#3 @4&quot; H-PINS"/>
    <m/>
    <n v="29"/>
    <x v="2"/>
    <x v="2"/>
    <n v="1.42"/>
    <n v="15.483679999999998"/>
    <m/>
  </r>
  <r>
    <n v="90"/>
    <s v="(1ST FLR LVL:155.70 TO 2ND FLR LVL:168.75)"/>
    <m/>
    <m/>
    <x v="0"/>
    <x v="0"/>
    <m/>
    <n v="0"/>
    <m/>
  </r>
  <r>
    <n v="91"/>
    <s v="6- #9 VERTS H1E"/>
    <m/>
    <n v="6"/>
    <x v="3"/>
    <x v="2"/>
    <n v="14.730000000000011"/>
    <n v="300.49200000000019"/>
    <m/>
  </r>
  <r>
    <n v="92"/>
    <s v="#3 @4&quot; TIES"/>
    <m/>
    <n v="34"/>
    <x v="2"/>
    <x v="2"/>
    <n v="5.66"/>
    <n v="72.357440000000011"/>
    <m/>
  </r>
  <r>
    <n v="93"/>
    <s v="#3 @4&quot; H-PINS"/>
    <m/>
    <n v="34"/>
    <x v="2"/>
    <x v="2"/>
    <n v="1.42"/>
    <n v="18.153279999999999"/>
    <m/>
  </r>
  <r>
    <n v="94"/>
    <s v="12&quot;x 24&quot; CONC. COLUMN (SEC: 7/S-11)F6"/>
    <m/>
    <m/>
    <x v="0"/>
    <x v="0"/>
    <m/>
    <n v="0"/>
    <m/>
  </r>
  <r>
    <n v="95"/>
    <s v="(P2/LVL:134.50 TO P1/LVL:144.40)"/>
    <m/>
    <m/>
    <x v="0"/>
    <x v="0"/>
    <m/>
    <n v="0"/>
    <m/>
  </r>
  <r>
    <n v="96"/>
    <s v="6- #9 VERTS"/>
    <m/>
    <n v="6"/>
    <x v="3"/>
    <x v="1"/>
    <n v="14.990000000000006"/>
    <n v="305.79600000000011"/>
    <m/>
  </r>
  <r>
    <n v="97"/>
    <s v="#3 @4&quot; TIES"/>
    <m/>
    <n v="28"/>
    <x v="2"/>
    <x v="2"/>
    <n v="5.66"/>
    <n v="59.588480000000004"/>
    <m/>
  </r>
  <r>
    <n v="98"/>
    <s v="#3 @4&quot; H-PINS"/>
    <m/>
    <n v="28"/>
    <x v="2"/>
    <x v="2"/>
    <n v="1.42"/>
    <n v="14.949759999999998"/>
    <m/>
  </r>
  <r>
    <n v="99"/>
    <m/>
    <m/>
    <m/>
    <x v="0"/>
    <x v="0"/>
    <m/>
    <n v="0"/>
    <m/>
  </r>
  <r>
    <n v="100"/>
    <m/>
    <m/>
    <n v="6"/>
    <x v="3"/>
    <x v="1"/>
    <n v="15.479999999999983"/>
    <n v="315.79199999999963"/>
    <m/>
  </r>
  <r>
    <n v="101"/>
    <s v="(P1/LVL:144.40 TO 1ST FLR LVL:155.70)"/>
    <m/>
    <m/>
    <x v="0"/>
    <x v="0"/>
    <m/>
    <n v="0"/>
    <m/>
  </r>
  <r>
    <n v="102"/>
    <s v="6- #9 VERTS"/>
    <m/>
    <n v="6"/>
    <x v="3"/>
    <x v="1"/>
    <n v="15.479999999999983"/>
    <n v="315.79199999999963"/>
    <m/>
  </r>
  <r>
    <n v="103"/>
    <s v="#3 @4&quot; TIES"/>
    <m/>
    <n v="29"/>
    <x v="2"/>
    <x v="2"/>
    <n v="5.66"/>
    <n v="61.716640000000005"/>
    <m/>
  </r>
  <r>
    <n v="104"/>
    <s v="#3 @4&quot; H-PINS"/>
    <m/>
    <n v="29"/>
    <x v="2"/>
    <x v="2"/>
    <n v="1.42"/>
    <n v="15.483679999999998"/>
    <m/>
  </r>
  <r>
    <n v="105"/>
    <s v="1ST FLR LVL:155.70 TO 2ND FLR LVL:168.75)"/>
    <m/>
    <m/>
    <x v="0"/>
    <x v="0"/>
    <m/>
    <n v="0"/>
    <m/>
  </r>
  <r>
    <n v="106"/>
    <s v="6- #9 VERTS H1E"/>
    <m/>
    <n v="6"/>
    <x v="3"/>
    <x v="2"/>
    <n v="14.730000000000011"/>
    <n v="300.49200000000019"/>
    <m/>
  </r>
  <r>
    <n v="107"/>
    <s v="#3 @4&quot; TIES"/>
    <m/>
    <n v="34"/>
    <x v="2"/>
    <x v="2"/>
    <n v="5.66"/>
    <n v="72.357440000000011"/>
    <m/>
  </r>
  <r>
    <n v="108"/>
    <s v="#3 @4&quot; H-PINS"/>
    <m/>
    <n v="34"/>
    <x v="2"/>
    <x v="2"/>
    <n v="1.42"/>
    <n v="18.153279999999999"/>
    <m/>
  </r>
  <r>
    <n v="109"/>
    <s v="12&quot;x 24&quot; CONC. COLUMN (SEC: 7/S-11)F6"/>
    <m/>
    <m/>
    <x v="0"/>
    <x v="0"/>
    <m/>
    <n v="0"/>
    <m/>
  </r>
  <r>
    <n v="110"/>
    <s v="(P2/LVL:137.40 TO P1/LVL:149.0)"/>
    <m/>
    <m/>
    <x v="0"/>
    <x v="0"/>
    <m/>
    <n v="0"/>
    <m/>
  </r>
  <r>
    <n v="111"/>
    <s v="6- #9 VERTS"/>
    <m/>
    <n v="6"/>
    <x v="3"/>
    <x v="1"/>
    <n v="16.689999999999994"/>
    <n v="340.47599999999989"/>
    <m/>
  </r>
  <r>
    <n v="112"/>
    <s v="#3 @4&quot; TIES"/>
    <m/>
    <n v="33"/>
    <x v="2"/>
    <x v="2"/>
    <n v="5.66"/>
    <n v="70.229280000000003"/>
    <m/>
  </r>
  <r>
    <n v="113"/>
    <s v="#3 @4&quot; H-PINS"/>
    <m/>
    <n v="33"/>
    <x v="2"/>
    <x v="2"/>
    <n v="1.42"/>
    <n v="17.619359999999997"/>
    <m/>
  </r>
  <r>
    <n v="114"/>
    <s v="(P1/LVL:149.0 TO 1ST FLR LVL:157.0)"/>
    <m/>
    <m/>
    <x v="0"/>
    <x v="0"/>
    <m/>
    <n v="0"/>
    <m/>
  </r>
  <r>
    <n v="115"/>
    <s v="6- #9 VERTS"/>
    <m/>
    <n v="6"/>
    <x v="3"/>
    <x v="1"/>
    <n v="12.18"/>
    <n v="248.47199999999998"/>
    <m/>
  </r>
  <r>
    <n v="116"/>
    <s v="#3 @4&quot; TIES"/>
    <m/>
    <n v="19"/>
    <x v="2"/>
    <x v="2"/>
    <n v="5.66"/>
    <n v="40.435040000000008"/>
    <m/>
  </r>
  <r>
    <n v="117"/>
    <s v="#3 @4&quot; H-PINS"/>
    <m/>
    <n v="19"/>
    <x v="2"/>
    <x v="2"/>
    <n v="1.42"/>
    <n v="10.14448"/>
    <m/>
  </r>
  <r>
    <n v="118"/>
    <s v="(1ST FLR LVL:157.0 TO 2ND FLR LVL:168.75)"/>
    <m/>
    <m/>
    <x v="0"/>
    <x v="0"/>
    <m/>
    <n v="0"/>
    <m/>
  </r>
  <r>
    <n v="119"/>
    <s v="6- #9 VERTS H1E"/>
    <m/>
    <n v="6"/>
    <x v="3"/>
    <x v="2"/>
    <n v="13.43"/>
    <n v="273.97199999999998"/>
    <m/>
  </r>
  <r>
    <n v="120"/>
    <s v="#3 @4&quot; TIES"/>
    <m/>
    <n v="30"/>
    <x v="2"/>
    <x v="2"/>
    <n v="5.66"/>
    <n v="63.844800000000006"/>
    <m/>
  </r>
  <r>
    <n v="121"/>
    <s v="#3 @4&quot; H-PINS"/>
    <m/>
    <n v="30"/>
    <x v="2"/>
    <x v="2"/>
    <n v="1.42"/>
    <n v="16.017599999999998"/>
    <m/>
  </r>
  <r>
    <n v="122"/>
    <s v="12&quot;x 24&quot; CONC. COLUMN (SEC: 7/S-11)F6"/>
    <m/>
    <m/>
    <x v="0"/>
    <x v="0"/>
    <m/>
    <n v="0"/>
    <m/>
  </r>
  <r>
    <n v="123"/>
    <s v="(P2/LVL:137.40 TO P1/LVL:147.20)"/>
    <m/>
    <m/>
    <x v="0"/>
    <x v="0"/>
    <m/>
    <n v="0"/>
    <m/>
  </r>
  <r>
    <n v="124"/>
    <s v="6- #9 VERTS"/>
    <m/>
    <n v="6"/>
    <x v="3"/>
    <x v="1"/>
    <n v="14.889999999999983"/>
    <n v="303.75599999999963"/>
    <m/>
  </r>
  <r>
    <n v="125"/>
    <s v="#3 @4&quot; TIES"/>
    <m/>
    <n v="28"/>
    <x v="2"/>
    <x v="2"/>
    <n v="5.66"/>
    <n v="59.588480000000004"/>
    <m/>
  </r>
  <r>
    <n v="126"/>
    <s v="#3 @4&quot; H-PINS"/>
    <m/>
    <n v="28"/>
    <x v="2"/>
    <x v="2"/>
    <n v="1.42"/>
    <n v="14.949759999999998"/>
    <m/>
  </r>
  <r>
    <n v="127"/>
    <s v="(P1/LVL:147.20 TO 1ST FLR LVL:156.95)"/>
    <m/>
    <m/>
    <x v="0"/>
    <x v="0"/>
    <m/>
    <n v="0"/>
    <m/>
  </r>
  <r>
    <n v="128"/>
    <s v="6- #9 VERTS"/>
    <m/>
    <n v="6"/>
    <x v="3"/>
    <x v="1"/>
    <n v="13.93"/>
    <n v="284.17199999999997"/>
    <m/>
  </r>
  <r>
    <n v="129"/>
    <s v="#3 @4&quot; TIES"/>
    <m/>
    <n v="24"/>
    <x v="2"/>
    <x v="2"/>
    <n v="5.66"/>
    <n v="51.075840000000007"/>
    <m/>
  </r>
  <r>
    <n v="130"/>
    <s v="#3 @4&quot; H-PINS"/>
    <m/>
    <n v="19"/>
    <x v="2"/>
    <x v="2"/>
    <n v="1.42"/>
    <n v="10.14448"/>
    <m/>
  </r>
  <r>
    <n v="131"/>
    <s v="(1ST FLR LVL:156.95 TO 2ND FLR LVL:168.75)"/>
    <m/>
    <m/>
    <x v="0"/>
    <x v="0"/>
    <m/>
    <n v="0"/>
    <m/>
  </r>
  <r>
    <n v="132"/>
    <s v="6- #9 VERTS H1E"/>
    <m/>
    <n v="6"/>
    <x v="3"/>
    <x v="2"/>
    <n v="13.480000000000011"/>
    <n v="274.99200000000019"/>
    <m/>
  </r>
  <r>
    <n v="133"/>
    <s v="#3 @4&quot; TIES"/>
    <m/>
    <n v="30"/>
    <x v="2"/>
    <x v="2"/>
    <n v="5.66"/>
    <n v="63.844800000000006"/>
    <m/>
  </r>
  <r>
    <n v="134"/>
    <s v="#3 @4&quot; H-PINS"/>
    <m/>
    <n v="30"/>
    <x v="2"/>
    <x v="2"/>
    <n v="1.42"/>
    <n v="16.017599999999998"/>
    <m/>
  </r>
  <r>
    <n v="135"/>
    <s v="12&quot;x 24&quot; CONC. COLUMN (SEC: 7/S-11)F6"/>
    <m/>
    <m/>
    <x v="0"/>
    <x v="0"/>
    <m/>
    <n v="0"/>
    <m/>
  </r>
  <r>
    <n v="136"/>
    <s v="(P2/LVL:137.60 TO P1/LVL:147.20)"/>
    <m/>
    <m/>
    <x v="0"/>
    <x v="0"/>
    <m/>
    <n v="0"/>
    <m/>
  </r>
  <r>
    <n v="137"/>
    <s v="6- #9 VERTS"/>
    <m/>
    <n v="6"/>
    <x v="3"/>
    <x v="1"/>
    <n v="14.889999999999983"/>
    <n v="303.75599999999963"/>
    <m/>
  </r>
  <r>
    <n v="138"/>
    <s v="#3 @4&quot; TIES"/>
    <m/>
    <n v="28"/>
    <x v="2"/>
    <x v="2"/>
    <n v="5.66"/>
    <n v="59.588480000000004"/>
    <m/>
  </r>
  <r>
    <n v="139"/>
    <s v="#3 @4&quot; H-PINS"/>
    <m/>
    <n v="28"/>
    <x v="2"/>
    <x v="2"/>
    <n v="1.42"/>
    <n v="14.949759999999998"/>
    <m/>
  </r>
  <r>
    <n v="140"/>
    <s v="(P1/LVL:147.20 TO 1ST FLR LVL:156.95)"/>
    <m/>
    <m/>
    <x v="0"/>
    <x v="0"/>
    <m/>
    <n v="0"/>
    <m/>
  </r>
  <r>
    <n v="141"/>
    <s v="6- #9 VERTS"/>
    <m/>
    <n v="6"/>
    <x v="3"/>
    <x v="1"/>
    <n v="13.93"/>
    <n v="284.17199999999997"/>
    <m/>
  </r>
  <r>
    <n v="142"/>
    <s v="#3 @4&quot; TIES"/>
    <m/>
    <n v="24"/>
    <x v="2"/>
    <x v="2"/>
    <n v="5.66"/>
    <n v="51.075840000000007"/>
    <m/>
  </r>
  <r>
    <n v="143"/>
    <s v="#3 @4&quot; H-PINS"/>
    <m/>
    <n v="24"/>
    <x v="2"/>
    <x v="2"/>
    <n v="1.42"/>
    <n v="12.814079999999999"/>
    <m/>
  </r>
  <r>
    <n v="144"/>
    <s v="(1ST FLR LVL:156.95 TO 2ND FLR LVL:168.75)"/>
    <m/>
    <m/>
    <x v="0"/>
    <x v="0"/>
    <m/>
    <n v="0"/>
    <m/>
  </r>
  <r>
    <n v="145"/>
    <s v="6- #9 VERTS H1E"/>
    <m/>
    <n v="6"/>
    <x v="3"/>
    <x v="2"/>
    <n v="13.480000000000011"/>
    <n v="274.99200000000019"/>
    <m/>
  </r>
  <r>
    <n v="146"/>
    <s v="#3 @4&quot; TIES"/>
    <m/>
    <n v="30"/>
    <x v="2"/>
    <x v="2"/>
    <n v="5.66"/>
    <n v="63.844800000000006"/>
    <m/>
  </r>
  <r>
    <n v="147"/>
    <s v="#3 @4&quot; H-PINS"/>
    <m/>
    <n v="30"/>
    <x v="2"/>
    <x v="2"/>
    <n v="1.42"/>
    <n v="16.017599999999998"/>
    <m/>
  </r>
  <r>
    <n v="148"/>
    <s v="12&quot;x 24&quot; CONC. COLUMN (SEC: 7/S-11)F5"/>
    <m/>
    <m/>
    <x v="0"/>
    <x v="0"/>
    <m/>
    <n v="0"/>
    <m/>
  </r>
  <r>
    <n v="149"/>
    <m/>
    <m/>
    <m/>
    <x v="0"/>
    <x v="0"/>
    <m/>
    <n v="0"/>
    <m/>
  </r>
  <r>
    <n v="150"/>
    <m/>
    <m/>
    <m/>
    <x v="0"/>
    <x v="0"/>
    <m/>
    <n v="0"/>
    <m/>
  </r>
  <r>
    <n v="151"/>
    <s v="(P2/LVL:137.40 TO P1/LVL:149.0)"/>
    <m/>
    <m/>
    <x v="0"/>
    <x v="0"/>
    <m/>
    <n v="0"/>
    <m/>
  </r>
  <r>
    <n v="152"/>
    <s v="6- #9 VERTS"/>
    <m/>
    <n v="6"/>
    <x v="3"/>
    <x v="1"/>
    <n v="16.689999999999994"/>
    <n v="340.47599999999989"/>
    <m/>
  </r>
  <r>
    <n v="153"/>
    <s v="#3 @4&quot; TIES"/>
    <m/>
    <n v="33"/>
    <x v="2"/>
    <x v="2"/>
    <n v="5.66"/>
    <n v="70.229280000000003"/>
    <m/>
  </r>
  <r>
    <n v="154"/>
    <s v="#3 @4&quot; H-PINS"/>
    <m/>
    <n v="33"/>
    <x v="2"/>
    <x v="2"/>
    <n v="1.42"/>
    <n v="17.619359999999997"/>
    <m/>
  </r>
  <r>
    <n v="155"/>
    <s v="(P1/LVL:149.0 TO 1ST FLR LVL:157.0)"/>
    <m/>
    <m/>
    <x v="0"/>
    <x v="0"/>
    <m/>
    <n v="0"/>
    <m/>
  </r>
  <r>
    <n v="156"/>
    <s v="6- #9 VERTS"/>
    <m/>
    <n v="6"/>
    <x v="3"/>
    <x v="1"/>
    <n v="12.18"/>
    <n v="248.47199999999998"/>
    <m/>
  </r>
  <r>
    <n v="157"/>
    <s v="#3 @4&quot; TIES"/>
    <m/>
    <n v="19"/>
    <x v="2"/>
    <x v="2"/>
    <n v="5.66"/>
    <n v="40.435040000000008"/>
    <m/>
  </r>
  <r>
    <n v="158"/>
    <s v="#3 @4&quot; H-PINS"/>
    <m/>
    <n v="19"/>
    <x v="2"/>
    <x v="2"/>
    <n v="1.42"/>
    <n v="10.14448"/>
    <m/>
  </r>
  <r>
    <n v="159"/>
    <s v="(1ST FLR LVL:157.0 TO 2ND FLR LVL:168.75)"/>
    <m/>
    <m/>
    <x v="0"/>
    <x v="0"/>
    <m/>
    <n v="0"/>
    <m/>
  </r>
  <r>
    <n v="160"/>
    <s v="6- #9 VERTS H1E"/>
    <m/>
    <n v="6"/>
    <x v="3"/>
    <x v="2"/>
    <n v="13.43"/>
    <n v="273.97199999999998"/>
    <m/>
  </r>
  <r>
    <n v="161"/>
    <s v="#3 @4&quot; TIES"/>
    <m/>
    <n v="30"/>
    <x v="2"/>
    <x v="2"/>
    <n v="5.66"/>
    <n v="63.844800000000006"/>
    <m/>
  </r>
  <r>
    <n v="162"/>
    <s v="#3 @4&quot; H-PINS"/>
    <m/>
    <n v="30"/>
    <x v="2"/>
    <x v="2"/>
    <n v="1.42"/>
    <n v="16.017599999999998"/>
    <m/>
  </r>
  <r>
    <n v="163"/>
    <s v="12&quot;x 24&quot; CONC. COLUMN (SEC: 7/S-11)F5"/>
    <m/>
    <m/>
    <x v="0"/>
    <x v="0"/>
    <m/>
    <n v="0"/>
    <m/>
  </r>
  <r>
    <n v="164"/>
    <s v="(P2/LVL:136.80 TO P1/LVL:148.60)"/>
    <m/>
    <m/>
    <x v="0"/>
    <x v="0"/>
    <m/>
    <n v="0"/>
    <m/>
  </r>
  <r>
    <n v="165"/>
    <s v="6- #9 VERTS"/>
    <m/>
    <n v="6"/>
    <x v="3"/>
    <x v="1"/>
    <n v="16.889999999999983"/>
    <n v="344.55599999999964"/>
    <m/>
  </r>
  <r>
    <n v="166"/>
    <s v="#3 @4&quot; TIES"/>
    <m/>
    <n v="34"/>
    <x v="2"/>
    <x v="2"/>
    <n v="5.66"/>
    <n v="72.357440000000011"/>
    <m/>
  </r>
  <r>
    <n v="167"/>
    <s v="#3 @4&quot; H-PINS"/>
    <m/>
    <n v="34"/>
    <x v="2"/>
    <x v="2"/>
    <n v="1.42"/>
    <n v="18.153279999999999"/>
    <m/>
  </r>
  <r>
    <n v="168"/>
    <s v="(P1/LVL:148.60 TO 1ST FLR LVL:157.0)"/>
    <m/>
    <m/>
    <x v="0"/>
    <x v="0"/>
    <m/>
    <n v="0"/>
    <m/>
  </r>
  <r>
    <n v="169"/>
    <s v="6- #9 VERTS"/>
    <m/>
    <n v="6"/>
    <x v="3"/>
    <x v="1"/>
    <n v="12.580000000000005"/>
    <n v="256.63200000000012"/>
    <m/>
  </r>
  <r>
    <n v="170"/>
    <s v="#3 @4&quot; TIES"/>
    <m/>
    <n v="20"/>
    <x v="2"/>
    <x v="2"/>
    <n v="5.66"/>
    <n v="42.563200000000009"/>
    <m/>
  </r>
  <r>
    <n v="171"/>
    <s v="#3 @4&quot; H-PINS"/>
    <m/>
    <n v="20"/>
    <x v="2"/>
    <x v="2"/>
    <n v="1.42"/>
    <n v="10.6784"/>
    <m/>
  </r>
  <r>
    <n v="172"/>
    <s v="(1ST FLR LVL:157.0 TO 2ND FLR LVL:168.75)"/>
    <m/>
    <m/>
    <x v="0"/>
    <x v="0"/>
    <m/>
    <n v="0"/>
    <m/>
  </r>
  <r>
    <n v="173"/>
    <s v="6- #9 VERTS H1E"/>
    <m/>
    <n v="6"/>
    <x v="3"/>
    <x v="2"/>
    <n v="13.43"/>
    <n v="273.97199999999998"/>
    <m/>
  </r>
  <r>
    <n v="174"/>
    <s v="#3 @4&quot; TIES"/>
    <m/>
    <n v="30"/>
    <x v="2"/>
    <x v="2"/>
    <n v="5.66"/>
    <n v="63.844800000000006"/>
    <m/>
  </r>
  <r>
    <n v="175"/>
    <s v="#3 @4&quot; H-PINS"/>
    <m/>
    <n v="30"/>
    <x v="2"/>
    <x v="2"/>
    <n v="1.42"/>
    <n v="16.017599999999998"/>
    <m/>
  </r>
  <r>
    <n v="176"/>
    <s v="12&quot;x 24&quot; CONC. COLUMN (SEC: 7/S-11)F7"/>
    <m/>
    <m/>
    <x v="0"/>
    <x v="0"/>
    <m/>
    <n v="0"/>
    <m/>
  </r>
  <r>
    <n v="177"/>
    <s v="(P2/LVL:134.50 TO P1/LVL:144.40)"/>
    <m/>
    <m/>
    <x v="0"/>
    <x v="0"/>
    <m/>
    <n v="0"/>
    <m/>
  </r>
  <r>
    <n v="178"/>
    <s v="6- #9 VERTS"/>
    <m/>
    <n v="6"/>
    <x v="3"/>
    <x v="1"/>
    <n v="14.990000000000006"/>
    <n v="305.79600000000011"/>
    <m/>
  </r>
  <r>
    <n v="179"/>
    <s v="#3 @4&quot; TIES"/>
    <m/>
    <n v="34"/>
    <x v="2"/>
    <x v="2"/>
    <n v="5.66"/>
    <n v="72.357440000000011"/>
    <m/>
  </r>
  <r>
    <n v="180"/>
    <s v="#3 @4&quot; H-PINS"/>
    <m/>
    <n v="34"/>
    <x v="2"/>
    <x v="2"/>
    <n v="1.42"/>
    <n v="18.153279999999999"/>
    <m/>
  </r>
  <r>
    <n v="181"/>
    <s v="(P1/LVL:144.40 TO 1ST FLR LVL:156.90)"/>
    <m/>
    <m/>
    <x v="0"/>
    <x v="0"/>
    <m/>
    <n v="0"/>
    <m/>
  </r>
  <r>
    <n v="182"/>
    <s v="6- #9 VERTS"/>
    <m/>
    <n v="6"/>
    <x v="3"/>
    <x v="1"/>
    <n v="16.68"/>
    <n v="340.27199999999999"/>
    <m/>
  </r>
  <r>
    <n v="183"/>
    <s v="#3 @4&quot; TIES"/>
    <m/>
    <n v="32"/>
    <x v="2"/>
    <x v="2"/>
    <n v="5.66"/>
    <n v="68.101120000000009"/>
    <m/>
  </r>
  <r>
    <n v="184"/>
    <s v="#3 @4&quot; H-PINS"/>
    <m/>
    <n v="32"/>
    <x v="2"/>
    <x v="2"/>
    <n v="1.42"/>
    <n v="17.085439999999998"/>
    <m/>
  </r>
  <r>
    <n v="185"/>
    <s v="(1ST FLR LVL:156.90 TO 2ND FLR LVL:168.75)"/>
    <m/>
    <m/>
    <x v="0"/>
    <x v="0"/>
    <m/>
    <n v="0"/>
    <m/>
  </r>
  <r>
    <n v="186"/>
    <s v="6- #9 VERTS H1E"/>
    <m/>
    <n v="6"/>
    <x v="3"/>
    <x v="2"/>
    <n v="13.529999999999994"/>
    <n v="276.01199999999989"/>
    <m/>
  </r>
  <r>
    <n v="187"/>
    <s v="#3 @4&quot; TIES"/>
    <m/>
    <n v="30"/>
    <x v="2"/>
    <x v="2"/>
    <n v="5.66"/>
    <n v="63.844800000000006"/>
    <m/>
  </r>
  <r>
    <n v="188"/>
    <s v="#3 @4&quot; H-PINS"/>
    <m/>
    <n v="30"/>
    <x v="2"/>
    <x v="2"/>
    <n v="1.42"/>
    <n v="16.017599999999998"/>
    <m/>
  </r>
  <r>
    <n v="189"/>
    <s v="12&quot;x 24&quot; CONC. COLUMN (SEC: 7/S-11)F7"/>
    <m/>
    <m/>
    <x v="0"/>
    <x v="0"/>
    <m/>
    <n v="0"/>
    <m/>
  </r>
  <r>
    <n v="190"/>
    <s v="(P2/LVL:134.70 TO P1/LVL:143.40)"/>
    <m/>
    <m/>
    <x v="0"/>
    <x v="0"/>
    <m/>
    <n v="0"/>
    <m/>
  </r>
  <r>
    <n v="191"/>
    <s v="6- #9 VERTS"/>
    <m/>
    <n v="6"/>
    <x v="3"/>
    <x v="1"/>
    <n v="13.790000000000017"/>
    <n v="281.31600000000037"/>
    <m/>
  </r>
  <r>
    <n v="192"/>
    <s v="#3 @4&quot; TIES"/>
    <m/>
    <n v="24"/>
    <x v="2"/>
    <x v="2"/>
    <n v="5.66"/>
    <n v="51.075840000000007"/>
    <m/>
  </r>
  <r>
    <n v="193"/>
    <s v="#3 @4&quot; H-PINS"/>
    <m/>
    <n v="24"/>
    <x v="2"/>
    <x v="2"/>
    <n v="1.42"/>
    <n v="12.814079999999999"/>
    <m/>
  </r>
  <r>
    <n v="194"/>
    <s v="(P1/LVL:143.40 TO 1ST FLR LVL:157.20)"/>
    <m/>
    <m/>
    <x v="0"/>
    <x v="0"/>
    <m/>
    <n v="0"/>
    <m/>
  </r>
  <r>
    <n v="195"/>
    <s v="6- #9 VERTS"/>
    <m/>
    <n v="6"/>
    <x v="3"/>
    <x v="1"/>
    <n v="17.979999999999983"/>
    <n v="366.79199999999963"/>
    <m/>
  </r>
  <r>
    <n v="196"/>
    <s v="#3 @4&quot; TIES"/>
    <m/>
    <n v="36"/>
    <x v="2"/>
    <x v="2"/>
    <n v="5.66"/>
    <n v="76.613760000000013"/>
    <m/>
  </r>
  <r>
    <n v="197"/>
    <s v="#3 @4&quot; H-PINS"/>
    <m/>
    <n v="36"/>
    <x v="2"/>
    <x v="2"/>
    <n v="1.42"/>
    <n v="19.221119999999999"/>
    <m/>
  </r>
  <r>
    <n v="198"/>
    <s v="(1ST FLR LVL:157.20 TO 2ND FLR LVL:168.75)"/>
    <m/>
    <m/>
    <x v="0"/>
    <x v="0"/>
    <m/>
    <n v="0"/>
    <m/>
  </r>
  <r>
    <n v="199"/>
    <s v="6- #9 VERTS H1E"/>
    <m/>
    <n v="6"/>
    <x v="3"/>
    <x v="2"/>
    <n v="13.230000000000011"/>
    <n v="269.89200000000022"/>
    <m/>
  </r>
  <r>
    <n v="200"/>
    <s v="#3 @4&quot; TIES"/>
    <m/>
    <n v="29"/>
    <x v="2"/>
    <x v="2"/>
    <n v="5.66"/>
    <n v="61.716640000000005"/>
    <m/>
  </r>
  <r>
    <n v="201"/>
    <s v="#3 @4&quot; H-PINS"/>
    <m/>
    <n v="29"/>
    <x v="2"/>
    <x v="2"/>
    <n v="1.42"/>
    <n v="15.483679999999998"/>
    <m/>
  </r>
  <r>
    <n v="202"/>
    <s v="12&quot;x 24&quot; CONC. COLUMN (SEC: 7/S-11)F7"/>
    <m/>
    <m/>
    <x v="0"/>
    <x v="0"/>
    <m/>
    <n v="0"/>
    <m/>
  </r>
  <r>
    <n v="203"/>
    <s v="(P2/LVL:136.90 TO P1/LVL:146.80)"/>
    <m/>
    <m/>
    <x v="0"/>
    <x v="0"/>
    <m/>
    <n v="0"/>
    <m/>
  </r>
  <r>
    <n v="204"/>
    <s v="6- #9 VERTS"/>
    <m/>
    <n v="6"/>
    <x v="3"/>
    <x v="1"/>
    <n v="14.990000000000006"/>
    <n v="305.79600000000011"/>
    <m/>
  </r>
  <r>
    <n v="205"/>
    <s v="#3 @4&quot; TIES"/>
    <m/>
    <n v="28"/>
    <x v="2"/>
    <x v="2"/>
    <n v="5.66"/>
    <n v="59.588480000000004"/>
    <m/>
  </r>
  <r>
    <n v="206"/>
    <s v="#3 @4&quot; H-PINS"/>
    <m/>
    <n v="28"/>
    <x v="2"/>
    <x v="2"/>
    <n v="1.42"/>
    <n v="14.949759999999998"/>
    <m/>
  </r>
  <r>
    <n v="207"/>
    <s v="(P1/LVL:146.80 TO 1ST FLR LVL:156.95)"/>
    <m/>
    <m/>
    <x v="0"/>
    <x v="0"/>
    <m/>
    <n v="0"/>
    <m/>
  </r>
  <r>
    <n v="208"/>
    <s v="6- #9 VERTS"/>
    <m/>
    <n v="6"/>
    <x v="3"/>
    <x v="1"/>
    <n v="14.329999999999977"/>
    <n v="292.33199999999954"/>
    <m/>
  </r>
  <r>
    <n v="209"/>
    <s v="#3 @4&quot; TIES"/>
    <m/>
    <n v="25"/>
    <x v="2"/>
    <x v="2"/>
    <n v="5.66"/>
    <n v="53.204000000000008"/>
    <m/>
  </r>
  <r>
    <n v="210"/>
    <s v="#3 @4&quot; H-PINS"/>
    <m/>
    <n v="25"/>
    <x v="2"/>
    <x v="2"/>
    <n v="1.42"/>
    <n v="13.347999999999999"/>
    <m/>
  </r>
  <r>
    <n v="211"/>
    <s v="(1ST FLR LVL:156.95 TO 2ND FLR LVL:168.75)"/>
    <m/>
    <m/>
    <x v="0"/>
    <x v="0"/>
    <m/>
    <n v="0"/>
    <m/>
  </r>
  <r>
    <n v="212"/>
    <s v="6- #9 VERTS H1E"/>
    <m/>
    <n v="6"/>
    <x v="3"/>
    <x v="2"/>
    <n v="13.480000000000011"/>
    <n v="274.99200000000019"/>
    <m/>
  </r>
  <r>
    <n v="213"/>
    <s v="#3 @4&quot; TIES"/>
    <m/>
    <n v="30"/>
    <x v="2"/>
    <x v="2"/>
    <n v="5.66"/>
    <n v="63.844800000000006"/>
    <m/>
  </r>
  <r>
    <n v="214"/>
    <s v="#3 @4&quot; H-PINS"/>
    <m/>
    <n v="30"/>
    <x v="2"/>
    <x v="2"/>
    <n v="1.42"/>
    <n v="16.017599999999998"/>
    <m/>
  </r>
  <r>
    <n v="215"/>
    <s v="12&quot;x 24&quot; CONC. COLUMN (SEC: 7/S-11)F7"/>
    <m/>
    <m/>
    <x v="0"/>
    <x v="0"/>
    <m/>
    <n v="0"/>
    <m/>
  </r>
  <r>
    <n v="216"/>
    <s v="(P2/LVL:132.60 TO P1/LVL:142.40) (2LOCS)"/>
    <m/>
    <m/>
    <x v="0"/>
    <x v="0"/>
    <m/>
    <n v="0"/>
    <m/>
  </r>
  <r>
    <n v="217"/>
    <s v="6- #9 VERTS"/>
    <n v="2"/>
    <n v="6"/>
    <x v="3"/>
    <x v="1"/>
    <n v="14.890000000000011"/>
    <n v="607.51200000000051"/>
    <m/>
  </r>
  <r>
    <n v="218"/>
    <s v="#3 @4&quot; TIES"/>
    <n v="2"/>
    <n v="28"/>
    <x v="2"/>
    <x v="2"/>
    <n v="5.66"/>
    <n v="119.17696000000001"/>
    <m/>
  </r>
  <r>
    <n v="219"/>
    <s v="#3 @4&quot; H-PINS"/>
    <n v="2"/>
    <n v="28"/>
    <x v="2"/>
    <x v="2"/>
    <n v="1.42"/>
    <n v="29.899519999999995"/>
    <m/>
  </r>
  <r>
    <n v="220"/>
    <s v="(P1/LVL:142.40 TO 1ST FLR LVL:157.25)"/>
    <m/>
    <m/>
    <x v="0"/>
    <x v="0"/>
    <m/>
    <n v="0"/>
    <m/>
  </r>
  <r>
    <n v="221"/>
    <s v="6- #9 VERTS"/>
    <n v="2"/>
    <n v="6"/>
    <x v="3"/>
    <x v="1"/>
    <n v="19.029999999999994"/>
    <n v="776.42399999999975"/>
    <m/>
  </r>
  <r>
    <n v="222"/>
    <s v="#3 @4&quot; TIES"/>
    <n v="2"/>
    <n v="40"/>
    <x v="2"/>
    <x v="2"/>
    <n v="5.66"/>
    <n v="170.25280000000004"/>
    <m/>
  </r>
  <r>
    <n v="223"/>
    <s v="#3 @4&quot; H-PINS"/>
    <n v="2"/>
    <n v="40"/>
    <x v="2"/>
    <x v="2"/>
    <n v="1.42"/>
    <n v="42.7136"/>
    <m/>
  </r>
  <r>
    <n v="224"/>
    <s v="(1ST FLR LVL:157.25 TO 2ND FLR LVL:168.75)"/>
    <m/>
    <m/>
    <x v="0"/>
    <x v="0"/>
    <m/>
    <n v="0"/>
    <m/>
  </r>
  <r>
    <n v="225"/>
    <s v="6- #9 VERTS H1E"/>
    <n v="2"/>
    <n v="6"/>
    <x v="3"/>
    <x v="2"/>
    <n v="13.18"/>
    <n v="537.74399999999991"/>
    <m/>
  </r>
  <r>
    <n v="226"/>
    <s v="#3 @4&quot; TIES"/>
    <n v="2"/>
    <n v="29"/>
    <x v="2"/>
    <x v="2"/>
    <n v="5.66"/>
    <n v="123.43328000000001"/>
    <m/>
  </r>
  <r>
    <n v="227"/>
    <s v="#3 @4&quot; H-PINS"/>
    <n v="2"/>
    <n v="29"/>
    <x v="2"/>
    <x v="2"/>
    <n v="1.42"/>
    <n v="30.967359999999996"/>
    <m/>
  </r>
  <r>
    <n v="228"/>
    <s v="12&quot;x 24&quot; CONC. COLUMN (SEC: 7/S-11)F7"/>
    <m/>
    <m/>
    <x v="0"/>
    <x v="0"/>
    <m/>
    <n v="0"/>
    <m/>
  </r>
  <r>
    <n v="229"/>
    <s v="(P2/LVL:137.40 TO P1/LVL:149.20)"/>
    <m/>
    <m/>
    <x v="0"/>
    <x v="0"/>
    <m/>
    <n v="0"/>
    <m/>
  </r>
  <r>
    <n v="230"/>
    <s v="6- #9 VERTS"/>
    <m/>
    <n v="6"/>
    <x v="3"/>
    <x v="1"/>
    <n v="15.09"/>
    <n v="307.83600000000001"/>
    <m/>
  </r>
  <r>
    <n v="231"/>
    <s v="#3 @4&quot; TIES"/>
    <m/>
    <n v="28"/>
    <x v="2"/>
    <x v="2"/>
    <n v="5.66"/>
    <n v="59.588480000000004"/>
    <m/>
  </r>
  <r>
    <n v="232"/>
    <s v="#3 @4&quot; H-PINS"/>
    <m/>
    <n v="28"/>
    <x v="2"/>
    <x v="2"/>
    <n v="1.42"/>
    <n v="14.949759999999998"/>
    <m/>
  </r>
  <r>
    <n v="233"/>
    <s v="(P1/LVL:149.20 TO 1ST FLR LVL:157.0)"/>
    <m/>
    <m/>
    <x v="0"/>
    <x v="0"/>
    <m/>
    <n v="0"/>
    <m/>
  </r>
  <r>
    <n v="234"/>
    <s v="6- #9 VERTS"/>
    <m/>
    <n v="6"/>
    <x v="3"/>
    <x v="1"/>
    <n v="11.980000000000011"/>
    <n v="244.39200000000022"/>
    <m/>
  </r>
  <r>
    <n v="235"/>
    <s v="#3 @4&quot; TIES"/>
    <m/>
    <n v="21"/>
    <x v="2"/>
    <x v="2"/>
    <n v="5.66"/>
    <n v="44.691360000000003"/>
    <m/>
  </r>
  <r>
    <n v="236"/>
    <s v="#3 @4&quot; H-PINS"/>
    <m/>
    <n v="21"/>
    <x v="2"/>
    <x v="2"/>
    <n v="1.42"/>
    <n v="11.212319999999998"/>
    <m/>
  </r>
  <r>
    <n v="237"/>
    <s v="(1ST FLR LVL:157.0 TO 2ND FLR LVL:168.75)"/>
    <m/>
    <m/>
    <x v="0"/>
    <x v="0"/>
    <m/>
    <n v="0"/>
    <m/>
  </r>
  <r>
    <n v="238"/>
    <s v="6- #9 VERTS H1E"/>
    <m/>
    <n v="6"/>
    <x v="3"/>
    <x v="2"/>
    <n v="13.43"/>
    <n v="273.97199999999998"/>
    <m/>
  </r>
  <r>
    <n v="239"/>
    <s v="#3 @4&quot; TIES"/>
    <m/>
    <n v="30"/>
    <x v="2"/>
    <x v="2"/>
    <n v="5.66"/>
    <n v="63.844800000000006"/>
    <m/>
  </r>
  <r>
    <n v="240"/>
    <s v="#3 @4&quot; H-PINS"/>
    <m/>
    <n v="30"/>
    <x v="2"/>
    <x v="2"/>
    <n v="1.42"/>
    <n v="16.017599999999998"/>
    <m/>
  </r>
  <r>
    <n v="241"/>
    <s v="12&quot;x 24&quot; CONC. COLUMN (SEC: 7/S-11)F7"/>
    <m/>
    <m/>
    <x v="0"/>
    <x v="0"/>
    <m/>
    <n v="0"/>
    <m/>
  </r>
  <r>
    <n v="242"/>
    <s v="(P2/LVL:137.40 TO P1/LVL:149.50)"/>
    <m/>
    <m/>
    <x v="0"/>
    <x v="0"/>
    <m/>
    <n v="0"/>
    <m/>
  </r>
  <r>
    <n v="243"/>
    <s v="6- #9 VERTS"/>
    <m/>
    <n v="6"/>
    <x v="3"/>
    <x v="1"/>
    <n v="17.189999999999994"/>
    <n v="350.67599999999987"/>
    <m/>
  </r>
  <r>
    <n v="244"/>
    <s v="#3 @4&quot; TIES"/>
    <m/>
    <n v="35"/>
    <x v="2"/>
    <x v="2"/>
    <n v="5.66"/>
    <n v="74.485600000000005"/>
    <m/>
  </r>
  <r>
    <n v="245"/>
    <s v="#3 @4&quot; H-PINS"/>
    <m/>
    <n v="35"/>
    <x v="2"/>
    <x v="2"/>
    <n v="1.42"/>
    <n v="18.687199999999997"/>
    <m/>
  </r>
  <r>
    <n v="246"/>
    <s v="(P1/LVL:149.50 TO 1ST FLR LVL:157.0)"/>
    <m/>
    <m/>
    <x v="0"/>
    <x v="0"/>
    <m/>
    <n v="0"/>
    <m/>
  </r>
  <r>
    <n v="247"/>
    <s v="6- #9 VERTS"/>
    <m/>
    <n v="6"/>
    <x v="3"/>
    <x v="1"/>
    <n v="11.68"/>
    <n v="238.27199999999999"/>
    <m/>
  </r>
  <r>
    <n v="248"/>
    <s v="#3 @4&quot; TIES"/>
    <m/>
    <n v="17"/>
    <x v="2"/>
    <x v="2"/>
    <n v="5.66"/>
    <n v="36.178720000000006"/>
    <m/>
  </r>
  <r>
    <n v="249"/>
    <s v="#3 @4&quot; H-PINS"/>
    <m/>
    <n v="17"/>
    <x v="2"/>
    <x v="2"/>
    <n v="1.42"/>
    <n v="9.0766399999999994"/>
    <m/>
  </r>
  <r>
    <n v="250"/>
    <m/>
    <m/>
    <m/>
    <x v="0"/>
    <x v="0"/>
    <m/>
    <n v="0"/>
    <m/>
  </r>
  <r>
    <n v="251"/>
    <s v="(1ST FLR LVL:157.0 TO 2ND FLR LVL:168.75)"/>
    <m/>
    <m/>
    <x v="0"/>
    <x v="0"/>
    <m/>
    <n v="0"/>
    <m/>
  </r>
  <r>
    <n v="252"/>
    <s v="6- #9 VERTS H1E"/>
    <m/>
    <n v="6"/>
    <x v="3"/>
    <x v="2"/>
    <n v="13.43"/>
    <n v="273.97199999999998"/>
    <m/>
  </r>
  <r>
    <n v="253"/>
    <s v="#3 @4&quot; TIES"/>
    <m/>
    <n v="30"/>
    <x v="2"/>
    <x v="2"/>
    <n v="5.66"/>
    <n v="63.844800000000006"/>
    <m/>
  </r>
  <r>
    <n v="254"/>
    <s v="#3 @4&quot; H-PINS"/>
    <m/>
    <n v="30"/>
    <x v="2"/>
    <x v="2"/>
    <n v="1.42"/>
    <n v="16.017599999999998"/>
    <m/>
  </r>
  <r>
    <n v="255"/>
    <s v="12&quot;x 24&quot; CONC. COLUMN (SEC: 7/S-11)F4"/>
    <m/>
    <m/>
    <x v="0"/>
    <x v="0"/>
    <m/>
    <n v="0"/>
    <m/>
  </r>
  <r>
    <n v="256"/>
    <s v="(P2/LVL:133.60 TO P1/LVL:143.40)"/>
    <m/>
    <m/>
    <x v="0"/>
    <x v="0"/>
    <m/>
    <n v="0"/>
    <m/>
  </r>
  <r>
    <n v="257"/>
    <s v="6- #9 VERTS"/>
    <m/>
    <n v="6"/>
    <x v="3"/>
    <x v="1"/>
    <n v="14.890000000000011"/>
    <n v="303.75600000000026"/>
    <m/>
  </r>
  <r>
    <n v="258"/>
    <s v="#3 @4&quot; TIES"/>
    <m/>
    <n v="28"/>
    <x v="2"/>
    <x v="2"/>
    <n v="5.66"/>
    <n v="59.588480000000004"/>
    <m/>
  </r>
  <r>
    <n v="259"/>
    <s v="#3 @4&quot; H-PINS"/>
    <m/>
    <n v="28"/>
    <x v="2"/>
    <x v="2"/>
    <n v="1.42"/>
    <n v="14.949759999999998"/>
    <m/>
  </r>
  <r>
    <n v="260"/>
    <s v="(P1/LVL:143.40 TO 1ST FLR LVL:157.15)"/>
    <m/>
    <m/>
    <x v="0"/>
    <x v="0"/>
    <m/>
    <n v="0"/>
    <m/>
  </r>
  <r>
    <n v="261"/>
    <s v="6- #9 VERTS"/>
    <m/>
    <n v="6"/>
    <x v="3"/>
    <x v="1"/>
    <n v="17.93"/>
    <n v="365.77199999999999"/>
    <m/>
  </r>
  <r>
    <n v="262"/>
    <s v="#3 @4&quot; TIES"/>
    <m/>
    <n v="36"/>
    <x v="2"/>
    <x v="2"/>
    <n v="5.66"/>
    <n v="76.613760000000013"/>
    <m/>
  </r>
  <r>
    <n v="263"/>
    <s v="#3 @4&quot; H-PINS"/>
    <m/>
    <n v="36"/>
    <x v="2"/>
    <x v="2"/>
    <n v="1.42"/>
    <n v="19.221119999999999"/>
    <m/>
  </r>
  <r>
    <n v="264"/>
    <s v="(1ST FLR LVL:157.15 TO S2ND FLR LVL:168.75)"/>
    <m/>
    <m/>
    <x v="0"/>
    <x v="0"/>
    <m/>
    <n v="0"/>
    <m/>
  </r>
  <r>
    <n v="265"/>
    <s v="6- #9 VERTS"/>
    <m/>
    <n v="6"/>
    <x v="3"/>
    <x v="2"/>
    <n v="13.279999999999994"/>
    <n v="270.91199999999986"/>
    <m/>
  </r>
  <r>
    <n v="266"/>
    <s v="#3 @4&quot; TIES"/>
    <m/>
    <n v="29"/>
    <x v="2"/>
    <x v="2"/>
    <n v="5.66"/>
    <n v="61.716640000000005"/>
    <m/>
  </r>
  <r>
    <n v="267"/>
    <s v="#3 @4&quot; H-PINS"/>
    <m/>
    <n v="29"/>
    <x v="2"/>
    <x v="2"/>
    <n v="1.42"/>
    <n v="15.483679999999998"/>
    <m/>
  </r>
  <r>
    <n v="268"/>
    <s v="12&quot;x 24&quot; CONC. COLUMN (SEC: 7/S-11)F3"/>
    <m/>
    <m/>
    <x v="0"/>
    <x v="0"/>
    <m/>
    <n v="0"/>
    <m/>
  </r>
  <r>
    <n v="269"/>
    <s v="(P2/LVL:137.50 TO P1/LVL:147.30) (2LOCS)"/>
    <m/>
    <m/>
    <x v="0"/>
    <x v="0"/>
    <m/>
    <n v="0"/>
    <m/>
  </r>
  <r>
    <n v="270"/>
    <s v="6- #9 VERTS"/>
    <n v="2"/>
    <n v="6"/>
    <x v="3"/>
    <x v="1"/>
    <n v="14.890000000000011"/>
    <n v="607.51200000000051"/>
    <m/>
  </r>
  <r>
    <n v="271"/>
    <s v="#3 @4&quot; TIES"/>
    <n v="2"/>
    <n v="28"/>
    <x v="2"/>
    <x v="2"/>
    <n v="5.66"/>
    <n v="119.17696000000001"/>
    <m/>
  </r>
  <r>
    <n v="272"/>
    <s v="#3 @4&quot; H-PINS"/>
    <n v="2"/>
    <n v="28"/>
    <x v="2"/>
    <x v="2"/>
    <n v="1.42"/>
    <n v="29.899519999999995"/>
    <m/>
  </r>
  <r>
    <n v="273"/>
    <s v="(P1/LVL:147.30 TO 1ST FLR LVL:156.70)"/>
    <m/>
    <m/>
    <x v="0"/>
    <x v="0"/>
    <m/>
    <n v="0"/>
    <m/>
  </r>
  <r>
    <n v="274"/>
    <s v="6- #9 VERTS"/>
    <n v="2"/>
    <n v="6"/>
    <x v="3"/>
    <x v="1"/>
    <n v="13.579999999999977"/>
    <n v="554.06399999999906"/>
    <m/>
  </r>
  <r>
    <n v="275"/>
    <s v="#3 @4&quot; TIES"/>
    <n v="2"/>
    <n v="23"/>
    <x v="2"/>
    <x v="2"/>
    <n v="5.66"/>
    <n v="97.895360000000011"/>
    <m/>
  </r>
  <r>
    <n v="276"/>
    <s v="#3 @4&quot; H-PINS"/>
    <n v="2"/>
    <n v="23"/>
    <x v="2"/>
    <x v="2"/>
    <n v="1.42"/>
    <n v="24.560319999999997"/>
    <m/>
  </r>
  <r>
    <n v="277"/>
    <s v="(1ST FLR LVL:156.70 TO 2ND FLR LVL:168.75)"/>
    <m/>
    <m/>
    <x v="0"/>
    <x v="0"/>
    <m/>
    <n v="0"/>
    <m/>
  </r>
  <r>
    <n v="278"/>
    <s v="6- #9 VERTS H1E"/>
    <n v="2"/>
    <n v="6"/>
    <x v="3"/>
    <x v="2"/>
    <n v="13.730000000000011"/>
    <n v="560.18400000000042"/>
    <m/>
  </r>
  <r>
    <n v="279"/>
    <s v="#3 @4&quot; TIES"/>
    <n v="2"/>
    <n v="31"/>
    <x v="2"/>
    <x v="2"/>
    <n v="5.66"/>
    <n v="131.94592000000003"/>
    <m/>
  </r>
  <r>
    <n v="280"/>
    <s v="#3 @4&quot; H-PINS"/>
    <n v="2"/>
    <n v="31"/>
    <x v="2"/>
    <x v="2"/>
    <n v="1.42"/>
    <n v="33.10304"/>
    <m/>
  </r>
  <r>
    <n v="281"/>
    <s v="12&quot;x 24&quot; CONC. COLUMN (SEC: 7/S-11)F2"/>
    <m/>
    <m/>
    <x v="0"/>
    <x v="0"/>
    <m/>
    <n v="0"/>
    <m/>
  </r>
  <r>
    <n v="282"/>
    <s v="(P2/LVL:137.40 TO P1/LVL:149.0)"/>
    <m/>
    <m/>
    <x v="0"/>
    <x v="0"/>
    <m/>
    <n v="0"/>
    <m/>
  </r>
  <r>
    <n v="283"/>
    <s v="6- #9 VERTS"/>
    <m/>
    <n v="6"/>
    <x v="3"/>
    <x v="1"/>
    <n v="16.689999999999994"/>
    <n v="340.47599999999989"/>
    <m/>
  </r>
  <r>
    <n v="284"/>
    <s v="#3 @4&quot; TIES"/>
    <m/>
    <n v="33"/>
    <x v="2"/>
    <x v="2"/>
    <n v="5.66"/>
    <n v="70.229280000000003"/>
    <m/>
  </r>
  <r>
    <n v="285"/>
    <s v="#3 @4&quot; H-PINS"/>
    <m/>
    <n v="33"/>
    <x v="2"/>
    <x v="2"/>
    <n v="1.42"/>
    <n v="17.619359999999997"/>
    <m/>
  </r>
  <r>
    <n v="286"/>
    <s v="(P1/LVL:149.0 TO 1ST FLR LVL:157.0)"/>
    <m/>
    <m/>
    <x v="0"/>
    <x v="0"/>
    <m/>
    <n v="0"/>
    <m/>
  </r>
  <r>
    <n v="287"/>
    <s v="6- #9 VERTS"/>
    <m/>
    <n v="6"/>
    <x v="3"/>
    <x v="1"/>
    <n v="12.18"/>
    <n v="248.47199999999998"/>
    <m/>
  </r>
  <r>
    <n v="288"/>
    <s v="#3 @4&quot; TIES"/>
    <m/>
    <n v="19"/>
    <x v="2"/>
    <x v="2"/>
    <n v="5.66"/>
    <n v="40.435040000000008"/>
    <m/>
  </r>
  <r>
    <n v="289"/>
    <s v="#3 @4&quot; H-PINS"/>
    <m/>
    <n v="19"/>
    <x v="2"/>
    <x v="2"/>
    <n v="1.42"/>
    <n v="10.14448"/>
    <m/>
  </r>
  <r>
    <n v="290"/>
    <s v="(1ST FLR LVL:157.0 TO 2ND FLR LVL:168.75)"/>
    <m/>
    <m/>
    <x v="0"/>
    <x v="0"/>
    <m/>
    <n v="0"/>
    <m/>
  </r>
  <r>
    <n v="291"/>
    <s v="6- #9 VERTS H1E"/>
    <m/>
    <n v="6"/>
    <x v="3"/>
    <x v="2"/>
    <n v="13.43"/>
    <n v="273.97199999999998"/>
    <m/>
  </r>
  <r>
    <n v="292"/>
    <s v="#3 @4&quot; TIES"/>
    <m/>
    <n v="30"/>
    <x v="2"/>
    <x v="2"/>
    <n v="5.66"/>
    <n v="63.844800000000006"/>
    <m/>
  </r>
  <r>
    <n v="293"/>
    <s v="#3 @4&quot; H-PINS"/>
    <m/>
    <n v="30"/>
    <x v="2"/>
    <x v="2"/>
    <n v="1.42"/>
    <n v="16.017599999999998"/>
    <m/>
  </r>
  <r>
    <n v="294"/>
    <s v="10&quot;x 24&quot; CONC. COLUMN (SEC: 7/S-11)F2"/>
    <m/>
    <m/>
    <x v="0"/>
    <x v="0"/>
    <m/>
    <n v="0"/>
    <m/>
  </r>
  <r>
    <n v="295"/>
    <s v="(P2/LVL:137.40 TO P1/LVL:149.0)"/>
    <m/>
    <m/>
    <x v="0"/>
    <x v="0"/>
    <m/>
    <n v="0"/>
    <m/>
  </r>
  <r>
    <n v="296"/>
    <s v="6- #8 VERTS"/>
    <m/>
    <n v="6"/>
    <x v="4"/>
    <x v="1"/>
    <n v="16.689999999999994"/>
    <n v="267.3737999999999"/>
    <m/>
  </r>
  <r>
    <n v="297"/>
    <s v="#3 @4&quot; TIES"/>
    <m/>
    <n v="33"/>
    <x v="2"/>
    <x v="2"/>
    <n v="5.33"/>
    <n v="66.134640000000005"/>
    <m/>
  </r>
  <r>
    <n v="298"/>
    <s v="#3 @4&quot; H-PINS"/>
    <m/>
    <n v="33"/>
    <x v="2"/>
    <x v="2"/>
    <n v="1.25"/>
    <n v="15.51"/>
    <m/>
  </r>
  <r>
    <n v="299"/>
    <m/>
    <m/>
    <m/>
    <x v="0"/>
    <x v="0"/>
    <m/>
    <n v="0"/>
    <m/>
  </r>
  <r>
    <n v="300"/>
    <m/>
    <m/>
    <m/>
    <x v="0"/>
    <x v="0"/>
    <m/>
    <n v="0"/>
    <m/>
  </r>
  <r>
    <n v="301"/>
    <s v="(P1/LVL:149.0 TO 1ST FLR LVL:157.0)"/>
    <m/>
    <m/>
    <x v="0"/>
    <x v="0"/>
    <m/>
    <n v="0"/>
    <m/>
  </r>
  <r>
    <n v="302"/>
    <s v="6- #8 VERTS"/>
    <m/>
    <n v="6"/>
    <x v="4"/>
    <x v="1"/>
    <n v="12.18"/>
    <n v="195.12360000000001"/>
    <m/>
  </r>
  <r>
    <n v="303"/>
    <s v="#3 @4&quot; TIES"/>
    <m/>
    <n v="19"/>
    <x v="2"/>
    <x v="2"/>
    <n v="5.33"/>
    <n v="38.07752"/>
    <m/>
  </r>
  <r>
    <n v="304"/>
    <s v="#3 @4&quot; H-PINS"/>
    <m/>
    <n v="19"/>
    <x v="2"/>
    <x v="2"/>
    <n v="1.25"/>
    <n v="8.93"/>
    <m/>
  </r>
  <r>
    <n v="305"/>
    <s v="(1ST FLR LVL:157.0 TO 2ND FLR LVL:168.75)"/>
    <m/>
    <m/>
    <x v="0"/>
    <x v="0"/>
    <m/>
    <n v="0"/>
    <m/>
  </r>
  <r>
    <n v="306"/>
    <s v="6- #8 VERTS H1E"/>
    <m/>
    <n v="6"/>
    <x v="4"/>
    <x v="2"/>
    <n v="13.43"/>
    <n v="215.14859999999999"/>
    <m/>
  </r>
  <r>
    <n v="307"/>
    <s v="#3 @4&quot; TIES"/>
    <m/>
    <n v="30"/>
    <x v="2"/>
    <x v="2"/>
    <n v="5.33"/>
    <n v="60.122399999999999"/>
    <m/>
  </r>
  <r>
    <n v="308"/>
    <s v="#3 @4&quot; H-PINS"/>
    <m/>
    <n v="30"/>
    <x v="2"/>
    <x v="2"/>
    <n v="1.25"/>
    <n v="14.1"/>
    <m/>
  </r>
  <r>
    <n v="309"/>
    <s v="18&quot;x 24&quot; CONC. COLUMN (SEC: 7/S-11)F2"/>
    <m/>
    <m/>
    <x v="0"/>
    <x v="0"/>
    <m/>
    <n v="0"/>
    <m/>
  </r>
  <r>
    <n v="310"/>
    <s v="(P2/LVL:137.60 TO P1/LVL:147.40)"/>
    <m/>
    <m/>
    <x v="0"/>
    <x v="0"/>
    <m/>
    <n v="0"/>
    <m/>
  </r>
  <r>
    <n v="311"/>
    <s v="6- #8 VERTS"/>
    <m/>
    <n v="6"/>
    <x v="4"/>
    <x v="1"/>
    <n v="14.890000000000011"/>
    <n v="238.53780000000017"/>
    <m/>
  </r>
  <r>
    <n v="312"/>
    <s v="#3 @4&quot; TIES"/>
    <m/>
    <n v="28"/>
    <x v="2"/>
    <x v="2"/>
    <n v="6.66"/>
    <n v="70.11648000000001"/>
    <m/>
  </r>
  <r>
    <n v="313"/>
    <s v="#3 @4&quot; H-PINS"/>
    <m/>
    <n v="28"/>
    <x v="2"/>
    <x v="2"/>
    <n v="1.92"/>
    <n v="20.213760000000001"/>
    <m/>
  </r>
  <r>
    <n v="314"/>
    <s v="(P1/LVL:147.40 TO1ST FLR LVL:156.70)"/>
    <m/>
    <m/>
    <x v="0"/>
    <x v="0"/>
    <m/>
    <n v="0"/>
    <m/>
  </r>
  <r>
    <n v="315"/>
    <s v="6- #8 VERTS"/>
    <m/>
    <n v="6"/>
    <x v="4"/>
    <x v="1"/>
    <n v="13.479999999999983"/>
    <n v="215.94959999999975"/>
    <m/>
  </r>
  <r>
    <n v="316"/>
    <s v="#3 @4&quot; TIES"/>
    <m/>
    <n v="23"/>
    <x v="2"/>
    <x v="2"/>
    <n v="6.66"/>
    <n v="57.595680000000002"/>
    <m/>
  </r>
  <r>
    <n v="317"/>
    <s v="#3 @4&quot; H-PINS"/>
    <m/>
    <n v="23"/>
    <x v="2"/>
    <x v="2"/>
    <n v="1.92"/>
    <n v="16.60416"/>
    <m/>
  </r>
  <r>
    <n v="318"/>
    <s v="(1ST FLR LVL:156.70 TO 2ND FLR LVL:168.75)"/>
    <m/>
    <m/>
    <x v="0"/>
    <x v="0"/>
    <m/>
    <n v="0"/>
    <m/>
  </r>
  <r>
    <n v="319"/>
    <s v="6- #8 VERTS H1E"/>
    <m/>
    <n v="6"/>
    <x v="4"/>
    <x v="2"/>
    <n v="13.730000000000011"/>
    <n v="219.9546000000002"/>
    <m/>
  </r>
  <r>
    <n v="320"/>
    <s v="#3 @4&quot; TIES"/>
    <m/>
    <n v="31"/>
    <x v="2"/>
    <x v="2"/>
    <n v="6.66"/>
    <n v="77.628960000000006"/>
    <m/>
  </r>
  <r>
    <n v="321"/>
    <s v="#3 @4&quot; H-PINS"/>
    <m/>
    <n v="31"/>
    <x v="2"/>
    <x v="2"/>
    <n v="1.92"/>
    <n v="22.379519999999999"/>
    <m/>
  </r>
  <r>
    <n v="322"/>
    <s v="10&quot;x 48&quot; CONC. COLUMN (SEC: 7/S-11) 2'-0&quot; THK FTG"/>
    <m/>
    <m/>
    <x v="0"/>
    <x v="0"/>
    <m/>
    <n v="0"/>
    <m/>
  </r>
  <r>
    <n v="323"/>
    <s v="(P2/LVL:137.40 TO P1/LVL:147.20) (2LOCS)"/>
    <m/>
    <m/>
    <x v="0"/>
    <x v="0"/>
    <m/>
    <n v="0"/>
    <m/>
  </r>
  <r>
    <n v="324"/>
    <s v="8- #8 VERTS"/>
    <n v="2"/>
    <n v="8"/>
    <x v="4"/>
    <x v="1"/>
    <n v="14.889999999999983"/>
    <n v="636.10079999999925"/>
    <m/>
  </r>
  <r>
    <n v="325"/>
    <s v="#3 @4&quot; TIES"/>
    <n v="2"/>
    <n v="28"/>
    <x v="2"/>
    <x v="2"/>
    <n v="9.33"/>
    <n v="196.45248000000001"/>
    <m/>
  </r>
  <r>
    <n v="326"/>
    <s v="#3 @4&quot; H-PINS"/>
    <n v="4"/>
    <n v="28"/>
    <x v="2"/>
    <x v="2"/>
    <n v="1.25"/>
    <n v="52.64"/>
    <m/>
  </r>
  <r>
    <n v="327"/>
    <s v="(P1/LVL:147.20 TO 1ST FLR LVL:156.95)"/>
    <m/>
    <m/>
    <x v="0"/>
    <x v="0"/>
    <m/>
    <n v="0"/>
    <m/>
  </r>
  <r>
    <n v="328"/>
    <s v="8- #8 VERTS"/>
    <n v="2"/>
    <n v="8"/>
    <x v="4"/>
    <x v="1"/>
    <n v="13.93"/>
    <n v="595.08960000000002"/>
    <m/>
  </r>
  <r>
    <n v="329"/>
    <s v="#3 @4&quot; TIES"/>
    <n v="2"/>
    <n v="24"/>
    <x v="2"/>
    <x v="2"/>
    <n v="9.33"/>
    <n v="168.38784000000001"/>
    <m/>
  </r>
  <r>
    <n v="330"/>
    <s v="#3 @4&quot; H-PINS"/>
    <n v="4"/>
    <n v="24"/>
    <x v="2"/>
    <x v="2"/>
    <n v="1.25"/>
    <n v="45.12"/>
    <m/>
  </r>
  <r>
    <n v="331"/>
    <s v="(1ST FLR LVL:156.95 TO 2ND FLR LVL:168.75)"/>
    <m/>
    <m/>
    <x v="0"/>
    <x v="0"/>
    <m/>
    <n v="0"/>
    <m/>
  </r>
  <r>
    <n v="332"/>
    <s v="8- #8 VERTS H1E"/>
    <n v="2"/>
    <n v="8"/>
    <x v="4"/>
    <x v="2"/>
    <n v="13.760000000000012"/>
    <n v="587.82720000000052"/>
    <m/>
  </r>
  <r>
    <n v="333"/>
    <s v="#3 @4&quot; TIES"/>
    <n v="2"/>
    <n v="30"/>
    <x v="2"/>
    <x v="2"/>
    <n v="9.33"/>
    <n v="210.48480000000001"/>
    <m/>
  </r>
  <r>
    <n v="334"/>
    <s v="#3 @4&quot; H-PINS"/>
    <n v="4"/>
    <n v="30"/>
    <x v="2"/>
    <x v="2"/>
    <n v="1.25"/>
    <n v="56.4"/>
    <m/>
  </r>
  <r>
    <n v="335"/>
    <s v="10&quot;x 48&quot; CONC. COLUMN (SEC: 7/S-11) 2'-0&quot; THK FTG"/>
    <m/>
    <m/>
    <x v="0"/>
    <x v="0"/>
    <m/>
    <n v="0"/>
    <m/>
  </r>
  <r>
    <n v="336"/>
    <s v="(P2/LVL:137.40 TO P1/LVL:147.20) (2LOCS)"/>
    <m/>
    <m/>
    <x v="0"/>
    <x v="0"/>
    <m/>
    <n v="0"/>
    <m/>
  </r>
  <r>
    <n v="337"/>
    <s v="8- #8 VERTS"/>
    <n v="2"/>
    <n v="8"/>
    <x v="4"/>
    <x v="1"/>
    <n v="14.889999999999983"/>
    <n v="636.10079999999925"/>
    <m/>
  </r>
  <r>
    <n v="338"/>
    <s v="#3 @4&quot; TIES"/>
    <n v="2"/>
    <n v="28"/>
    <x v="2"/>
    <x v="2"/>
    <n v="9.33"/>
    <n v="196.45248000000001"/>
    <m/>
  </r>
  <r>
    <n v="339"/>
    <s v="#3 @4&quot; H-PINS"/>
    <n v="4"/>
    <n v="28"/>
    <x v="2"/>
    <x v="2"/>
    <n v="1.25"/>
    <n v="52.64"/>
    <m/>
  </r>
  <r>
    <n v="340"/>
    <s v="(P1/LVL:147.20 TO1ST FLR LVL:156.95)"/>
    <m/>
    <m/>
    <x v="0"/>
    <x v="0"/>
    <m/>
    <n v="0"/>
    <m/>
  </r>
  <r>
    <n v="341"/>
    <s v="8- #8 VERTS"/>
    <n v="2"/>
    <n v="8"/>
    <x v="4"/>
    <x v="1"/>
    <n v="13.93"/>
    <n v="595.08960000000002"/>
    <m/>
  </r>
  <r>
    <n v="342"/>
    <s v="#3 @4&quot; TIES"/>
    <n v="2"/>
    <n v="24"/>
    <x v="2"/>
    <x v="2"/>
    <n v="9.33"/>
    <n v="168.38784000000001"/>
    <m/>
  </r>
  <r>
    <n v="343"/>
    <s v="#3 @4&quot; H-PINS"/>
    <n v="4"/>
    <n v="24"/>
    <x v="2"/>
    <x v="2"/>
    <n v="1.25"/>
    <n v="45.12"/>
    <m/>
  </r>
  <r>
    <n v="344"/>
    <s v="(1ST FLR LVL:156.95 TO 2ND FLR LVL:168.75)"/>
    <m/>
    <m/>
    <x v="0"/>
    <x v="0"/>
    <m/>
    <n v="0"/>
    <m/>
  </r>
  <r>
    <n v="345"/>
    <s v="8- #8 VERTS H1E"/>
    <n v="2"/>
    <n v="8"/>
    <x v="4"/>
    <x v="2"/>
    <n v="13.480000000000011"/>
    <n v="575.86560000000043"/>
    <m/>
  </r>
  <r>
    <n v="346"/>
    <s v="#3 @4&quot; TIES"/>
    <n v="2"/>
    <n v="30"/>
    <x v="2"/>
    <x v="2"/>
    <n v="9.33"/>
    <n v="210.48480000000001"/>
    <m/>
  </r>
  <r>
    <n v="347"/>
    <s v="#3 @4&quot; H-PINS"/>
    <n v="4"/>
    <n v="30"/>
    <x v="2"/>
    <x v="2"/>
    <n v="1.25"/>
    <n v="56.4"/>
    <m/>
  </r>
  <r>
    <n v="348"/>
    <s v="10&quot;x 48&quot; CONC. COLUMN (SEC: 7/S-11) 2'-0&quot; THK FTG"/>
    <m/>
    <m/>
    <x v="0"/>
    <x v="0"/>
    <m/>
    <n v="0"/>
    <m/>
  </r>
  <r>
    <n v="349"/>
    <s v="(P2/LVL:132.60 TO P1/LVL:142.40) (2LOCS)"/>
    <m/>
    <m/>
    <x v="0"/>
    <x v="0"/>
    <m/>
    <n v="0"/>
    <m/>
  </r>
  <r>
    <n v="350"/>
    <s v="8- #8 VERTS"/>
    <n v="2"/>
    <n v="8"/>
    <x v="4"/>
    <x v="1"/>
    <n v="14.890000000000011"/>
    <n v="636.1008000000005"/>
    <m/>
  </r>
  <r>
    <n v="351"/>
    <s v="#3 @4&quot; TIES"/>
    <n v="2"/>
    <n v="28"/>
    <x v="2"/>
    <x v="2"/>
    <n v="9.33"/>
    <n v="196.45248000000001"/>
    <m/>
  </r>
  <r>
    <n v="352"/>
    <s v="#3 @4&quot; H-PINS"/>
    <n v="4"/>
    <n v="28"/>
    <x v="2"/>
    <x v="2"/>
    <n v="1.25"/>
    <n v="52.64"/>
    <m/>
  </r>
  <r>
    <n v="353"/>
    <s v="(P1/LVL:142.40 TO 1ST FLR LVL:157.36)"/>
    <m/>
    <m/>
    <x v="0"/>
    <x v="0"/>
    <m/>
    <n v="0"/>
    <m/>
  </r>
  <r>
    <n v="354"/>
    <s v="8- #8 VERTS"/>
    <n v="2"/>
    <n v="8"/>
    <x v="4"/>
    <x v="1"/>
    <n v="19.140000000000008"/>
    <n v="817.66080000000034"/>
    <m/>
  </r>
  <r>
    <n v="355"/>
    <s v="#3 @4&quot; TIES"/>
    <n v="2"/>
    <n v="40"/>
    <x v="2"/>
    <x v="2"/>
    <n v="9.33"/>
    <n v="280.64640000000003"/>
    <m/>
  </r>
  <r>
    <n v="356"/>
    <s v="#3 @4&quot; H-PINS"/>
    <n v="4"/>
    <n v="40"/>
    <x v="2"/>
    <x v="2"/>
    <n v="1.25"/>
    <n v="75.199999999999989"/>
    <m/>
  </r>
  <r>
    <n v="357"/>
    <s v="1ST FLR LVL:157.36 TO 2ND FLR LVL:168.75)"/>
    <m/>
    <m/>
    <x v="0"/>
    <x v="0"/>
    <m/>
    <n v="0"/>
    <m/>
  </r>
  <r>
    <n v="358"/>
    <s v="8- #8 VERTS H1E"/>
    <n v="2"/>
    <n v="8"/>
    <x v="4"/>
    <x v="2"/>
    <n v="13.069999999999986"/>
    <n v="558.35039999999935"/>
    <m/>
  </r>
  <r>
    <n v="359"/>
    <s v="#3 @4&quot; TIES"/>
    <n v="2"/>
    <n v="28"/>
    <x v="2"/>
    <x v="2"/>
    <n v="9.33"/>
    <n v="196.45248000000001"/>
    <m/>
  </r>
  <r>
    <n v="360"/>
    <s v="#3 @4&quot; H-PINS"/>
    <n v="4"/>
    <n v="28"/>
    <x v="2"/>
    <x v="2"/>
    <n v="1.25"/>
    <n v="52.64"/>
    <m/>
  </r>
  <r>
    <n v="361"/>
    <s v="10&quot;x 48&quot; CONC. COLUMN (SEC: 7/S-11) 2'-0&quot; THK FTG"/>
    <m/>
    <m/>
    <x v="0"/>
    <x v="0"/>
    <m/>
    <n v="0"/>
    <m/>
  </r>
  <r>
    <n v="362"/>
    <s v="(P2/LVL:132.60 TO P1/LVL:142.40) (2LOCS)"/>
    <m/>
    <m/>
    <x v="0"/>
    <x v="0"/>
    <m/>
    <n v="0"/>
    <m/>
  </r>
  <r>
    <n v="363"/>
    <s v="8- #8 VERTS"/>
    <n v="2"/>
    <n v="8"/>
    <x v="4"/>
    <x v="1"/>
    <n v="14.890000000000011"/>
    <n v="636.1008000000005"/>
    <m/>
  </r>
  <r>
    <n v="364"/>
    <s v="#3 @4&quot; TIES"/>
    <n v="2"/>
    <n v="28"/>
    <x v="2"/>
    <x v="2"/>
    <n v="9.33"/>
    <n v="196.45248000000001"/>
    <m/>
  </r>
  <r>
    <n v="365"/>
    <s v="#3 @4&quot; H-PINS"/>
    <n v="4"/>
    <n v="28"/>
    <x v="2"/>
    <x v="2"/>
    <n v="1.25"/>
    <n v="52.64"/>
    <m/>
  </r>
  <r>
    <n v="366"/>
    <s v="(P1/LVL:142.40 TO 1ST FLR LVL:157.76)"/>
    <m/>
    <m/>
    <x v="0"/>
    <x v="0"/>
    <m/>
    <n v="0"/>
    <m/>
  </r>
  <r>
    <n v="367"/>
    <s v="8- #8 VERTS"/>
    <n v="2"/>
    <n v="8"/>
    <x v="4"/>
    <x v="1"/>
    <n v="19.539999999999985"/>
    <n v="834.74879999999928"/>
    <m/>
  </r>
  <r>
    <n v="368"/>
    <s v="#3 @4&quot; TIES"/>
    <n v="2"/>
    <n v="41"/>
    <x v="2"/>
    <x v="2"/>
    <n v="9.33"/>
    <n v="287.66255999999998"/>
    <m/>
  </r>
  <r>
    <n v="369"/>
    <s v="#3 @4&quot; H-PINS"/>
    <n v="4"/>
    <n v="41"/>
    <x v="2"/>
    <x v="2"/>
    <n v="1.25"/>
    <n v="77.08"/>
    <m/>
  </r>
  <r>
    <n v="370"/>
    <s v="(1ST FLR LVL:157.76 TO 2ND FLR LVL:168.75)"/>
    <m/>
    <m/>
    <x v="0"/>
    <x v="0"/>
    <m/>
    <n v="0"/>
    <m/>
  </r>
  <r>
    <n v="371"/>
    <s v="8- #8 VERTS H1E"/>
    <n v="2"/>
    <n v="8"/>
    <x v="4"/>
    <x v="2"/>
    <n v="12.670000000000009"/>
    <n v="541.26240000000041"/>
    <m/>
  </r>
  <r>
    <n v="372"/>
    <s v="#3 @4&quot; TIES"/>
    <n v="2"/>
    <n v="27"/>
    <x v="2"/>
    <x v="2"/>
    <n v="9.33"/>
    <n v="189.43631999999999"/>
    <m/>
  </r>
  <r>
    <n v="373"/>
    <s v="#3 @4&quot; H-PINS"/>
    <n v="4"/>
    <n v="27"/>
    <x v="2"/>
    <x v="2"/>
    <n v="1.25"/>
    <n v="50.76"/>
    <m/>
  </r>
  <r>
    <n v="374"/>
    <m/>
    <m/>
    <m/>
    <x v="0"/>
    <x v="0"/>
    <m/>
    <n v="0"/>
    <m/>
  </r>
  <r>
    <n v="375"/>
    <m/>
    <m/>
    <m/>
    <x v="0"/>
    <x v="0"/>
    <m/>
    <n v="0"/>
    <m/>
  </r>
  <r>
    <n v="376"/>
    <m/>
    <m/>
    <m/>
    <x v="0"/>
    <x v="0"/>
    <m/>
    <n v="0"/>
    <m/>
  </r>
  <r>
    <n v="377"/>
    <m/>
    <m/>
    <m/>
    <x v="0"/>
    <x v="0"/>
    <m/>
    <n v="0"/>
    <m/>
  </r>
  <r>
    <n v="378"/>
    <m/>
    <m/>
    <m/>
    <x v="0"/>
    <x v="0"/>
    <m/>
    <n v="0"/>
    <m/>
  </r>
  <r>
    <n v="379"/>
    <m/>
    <m/>
    <m/>
    <x v="0"/>
    <x v="0"/>
    <m/>
    <n v="0"/>
    <m/>
  </r>
  <r>
    <n v="380"/>
    <m/>
    <m/>
    <m/>
    <x v="0"/>
    <x v="0"/>
    <m/>
    <n v="0"/>
    <m/>
  </r>
  <r>
    <n v="381"/>
    <m/>
    <m/>
    <m/>
    <x v="0"/>
    <x v="0"/>
    <m/>
    <n v="0"/>
    <m/>
  </r>
  <r>
    <n v="382"/>
    <m/>
    <m/>
    <m/>
    <x v="0"/>
    <x v="0"/>
    <m/>
    <n v="0"/>
    <m/>
  </r>
  <r>
    <n v="383"/>
    <m/>
    <m/>
    <m/>
    <x v="0"/>
    <x v="0"/>
    <m/>
    <n v="0"/>
    <m/>
  </r>
  <r>
    <n v="384"/>
    <m/>
    <m/>
    <m/>
    <x v="0"/>
    <x v="0"/>
    <m/>
    <n v="0"/>
    <m/>
  </r>
  <r>
    <n v="385"/>
    <m/>
    <m/>
    <m/>
    <x v="0"/>
    <x v="0"/>
    <m/>
    <n v="0"/>
    <m/>
  </r>
  <r>
    <n v="386"/>
    <m/>
    <m/>
    <m/>
    <x v="0"/>
    <x v="0"/>
    <m/>
    <n v="0"/>
    <m/>
  </r>
  <r>
    <n v="387"/>
    <m/>
    <m/>
    <m/>
    <x v="0"/>
    <x v="0"/>
    <m/>
    <n v="0"/>
    <m/>
  </r>
  <r>
    <n v="388"/>
    <m/>
    <m/>
    <m/>
    <x v="0"/>
    <x v="0"/>
    <m/>
    <n v="0"/>
    <m/>
  </r>
  <r>
    <n v="389"/>
    <m/>
    <m/>
    <m/>
    <x v="0"/>
    <x v="0"/>
    <m/>
    <n v="0"/>
    <m/>
  </r>
  <r>
    <n v="390"/>
    <m/>
    <m/>
    <m/>
    <x v="0"/>
    <x v="0"/>
    <m/>
    <n v="0"/>
    <m/>
  </r>
  <r>
    <n v="391"/>
    <m/>
    <m/>
    <m/>
    <x v="0"/>
    <x v="0"/>
    <m/>
    <n v="0"/>
    <m/>
  </r>
  <r>
    <n v="392"/>
    <m/>
    <m/>
    <m/>
    <x v="0"/>
    <x v="0"/>
    <m/>
    <n v="0"/>
    <m/>
  </r>
  <r>
    <n v="393"/>
    <m/>
    <m/>
    <m/>
    <x v="0"/>
    <x v="0"/>
    <m/>
    <n v="0"/>
    <m/>
  </r>
  <r>
    <n v="394"/>
    <m/>
    <m/>
    <m/>
    <x v="0"/>
    <x v="0"/>
    <m/>
    <n v="0"/>
    <m/>
  </r>
  <r>
    <n v="395"/>
    <m/>
    <m/>
    <m/>
    <x v="0"/>
    <x v="0"/>
    <m/>
    <n v="0"/>
    <m/>
  </r>
  <r>
    <n v="396"/>
    <m/>
    <m/>
    <m/>
    <x v="0"/>
    <x v="0"/>
    <m/>
    <n v="0"/>
    <m/>
  </r>
  <r>
    <n v="397"/>
    <m/>
    <m/>
    <m/>
    <x v="0"/>
    <x v="0"/>
    <m/>
    <n v="0"/>
    <m/>
  </r>
  <r>
    <n v="398"/>
    <m/>
    <m/>
    <m/>
    <x v="0"/>
    <x v="0"/>
    <m/>
    <n v="0"/>
    <m/>
  </r>
  <r>
    <n v="399"/>
    <m/>
    <m/>
    <m/>
    <x v="0"/>
    <x v="0"/>
    <m/>
    <n v="0"/>
    <m/>
  </r>
  <r>
    <n v="400"/>
    <m/>
    <m/>
    <m/>
    <x v="0"/>
    <x v="0"/>
    <m/>
    <n v="0"/>
    <m/>
  </r>
  <r>
    <m/>
    <m/>
    <m/>
    <m/>
    <x v="0"/>
    <x v="0"/>
    <s v="Total Weight"/>
    <n v="41307.340559999975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1">
  <r>
    <n v="1"/>
    <s v="SHEET NO:S-2 FOUNDATION PLAN"/>
    <m/>
    <m/>
    <x v="0"/>
    <x v="0"/>
    <m/>
    <n v="0"/>
    <m/>
  </r>
  <r>
    <n v="2"/>
    <s v="10&quot; THK CONC.WALLS"/>
    <m/>
    <m/>
    <x v="0"/>
    <x v="0"/>
    <m/>
    <n v="0"/>
    <m/>
  </r>
  <r>
    <n v="3"/>
    <s v="(SEC:S-11/2,A-4.0,A-4.2) (1'-4&quot; DP)"/>
    <m/>
    <m/>
    <x v="0"/>
    <x v="0"/>
    <m/>
    <n v="0"/>
    <m/>
  </r>
  <r>
    <n v="4"/>
    <s v="#7 @7&quot; VOF"/>
    <m/>
    <n v="925"/>
    <x v="1"/>
    <x v="1"/>
    <n v="19.167000000000002"/>
    <n v="36239.046900000001"/>
    <m/>
  </r>
  <r>
    <n v="5"/>
    <s v="#7 @7&quot; VOF"/>
    <m/>
    <n v="925"/>
    <x v="1"/>
    <x v="1"/>
    <n v="11.91"/>
    <n v="22518.237000000001"/>
    <m/>
  </r>
  <r>
    <n v="6"/>
    <s v="#7 @7&quot; VIF"/>
    <m/>
    <n v="925"/>
    <x v="1"/>
    <x v="1"/>
    <n v="10"/>
    <n v="18907"/>
    <m/>
  </r>
  <r>
    <n v="7"/>
    <s v="#7 @7&quot; VIF"/>
    <m/>
    <n v="925"/>
    <x v="1"/>
    <x v="1"/>
    <n v="11.91"/>
    <n v="22518.237000000001"/>
    <m/>
  </r>
  <r>
    <n v="8"/>
    <s v="#4 x5' @12&quot; CENTERED ON WALL"/>
    <m/>
    <n v="73"/>
    <x v="2"/>
    <x v="1"/>
    <n v="5"/>
    <n v="243.82000000000002"/>
    <m/>
  </r>
  <r>
    <n v="9"/>
    <s v="(SEC:S-11/3,4) "/>
    <m/>
    <m/>
    <x v="0"/>
    <x v="0"/>
    <m/>
    <n v="0"/>
    <m/>
  </r>
  <r>
    <n v="10"/>
    <s v="#4 @12&quot; VOF"/>
    <m/>
    <n v="94"/>
    <x v="2"/>
    <x v="1"/>
    <n v="19.167000000000002"/>
    <n v="1203.5342640000001"/>
    <m/>
  </r>
  <r>
    <n v="11"/>
    <s v="#4 @12&quot; VOF"/>
    <m/>
    <n v="94"/>
    <x v="2"/>
    <x v="1"/>
    <n v="11.91"/>
    <n v="747.85272000000009"/>
    <m/>
  </r>
  <r>
    <n v="12"/>
    <s v="#4 @12&quot; VIF"/>
    <m/>
    <n v="94"/>
    <x v="2"/>
    <x v="1"/>
    <n v="10"/>
    <n v="627.92000000000007"/>
    <m/>
  </r>
  <r>
    <n v="13"/>
    <s v="#4 @12&quot; VIF"/>
    <m/>
    <n v="94"/>
    <x v="2"/>
    <x v="1"/>
    <n v="11.91"/>
    <n v="747.85272000000009"/>
    <m/>
  </r>
  <r>
    <n v="14"/>
    <s v="(SEC:S-11/2,3,4) "/>
    <m/>
    <m/>
    <x v="0"/>
    <x v="0"/>
    <m/>
    <n v="0"/>
    <m/>
  </r>
  <r>
    <n v="15"/>
    <s v="#4 @12&quot; HEF"/>
    <n v="36"/>
    <n v="24"/>
    <x v="2"/>
    <x v="2"/>
    <n v="40"/>
    <n v="23086.080000000002"/>
    <m/>
  </r>
  <r>
    <n v="16"/>
    <s v="&quot;"/>
    <n v="2"/>
    <n v="24"/>
    <x v="2"/>
    <x v="1"/>
    <n v="6.5399999999999707"/>
    <n v="209.69855999999908"/>
    <m/>
  </r>
  <r>
    <n v="17"/>
    <s v="#4 @12&quot; COR"/>
    <n v="18"/>
    <n v="24"/>
    <x v="2"/>
    <x v="3"/>
    <n v="5.33"/>
    <n v="1538.1100800000002"/>
    <m/>
  </r>
  <r>
    <n v="18"/>
    <s v="(SEC:S-1/3)"/>
    <m/>
    <m/>
    <x v="0"/>
    <x v="0"/>
    <m/>
    <n v="0"/>
    <m/>
  </r>
  <r>
    <n v="19"/>
    <s v="#5 CONT"/>
    <n v="11"/>
    <n v="1"/>
    <x v="3"/>
    <x v="1"/>
    <n v="23.167000000000002"/>
    <n v="265.79499100000004"/>
    <m/>
  </r>
  <r>
    <n v="20"/>
    <s v="2#5 EDG CONT"/>
    <n v="3"/>
    <n v="2"/>
    <x v="3"/>
    <x v="1"/>
    <n v="23.167000000000002"/>
    <n v="144.979086"/>
    <m/>
  </r>
  <r>
    <n v="21"/>
    <s v="10&quot; THK BOUNDARY WALL (SEC 2/S-4A)"/>
    <m/>
    <m/>
    <x v="0"/>
    <x v="0"/>
    <m/>
    <n v="0"/>
    <m/>
  </r>
  <r>
    <n v="22"/>
    <s v="#5 @12&quot; VERT EF"/>
    <m/>
    <n v="574"/>
    <x v="3"/>
    <x v="3"/>
    <n v="13.08"/>
    <n v="7830.7605599999997"/>
    <m/>
  </r>
  <r>
    <n v="23"/>
    <s v="#4 @8&quot; HORZ EF"/>
    <n v="9"/>
    <n v="34"/>
    <x v="2"/>
    <x v="2"/>
    <n v="40"/>
    <n v="8176.3200000000015"/>
    <m/>
  </r>
  <r>
    <n v="24"/>
    <s v="&quot;"/>
    <m/>
    <n v="34"/>
    <x v="2"/>
    <x v="3"/>
    <n v="19.026999999999958"/>
    <n v="432.14122399999906"/>
    <m/>
  </r>
  <r>
    <n v="25"/>
    <s v=" @ WALL END"/>
    <m/>
    <m/>
    <x v="0"/>
    <x v="0"/>
    <m/>
    <n v="0"/>
    <m/>
  </r>
  <r>
    <n v="26"/>
    <s v="2-#8 WALL END DWLS"/>
    <n v="9"/>
    <n v="2"/>
    <x v="4"/>
    <x v="1"/>
    <n v="5.4130000000000003"/>
    <n v="260.14877999999999"/>
    <m/>
  </r>
  <r>
    <n v="27"/>
    <s v="2-#8 WALL END VERT"/>
    <n v="9"/>
    <n v="2"/>
    <x v="4"/>
    <x v="1"/>
    <n v="13.08"/>
    <n v="628.62480000000005"/>
    <m/>
  </r>
  <r>
    <n v="28"/>
    <s v="#3 @4&quot; H-PIN"/>
    <n v="9"/>
    <n v="17"/>
    <x v="5"/>
    <x v="3"/>
    <n v="1.3299999999999998"/>
    <n v="76.512240000000006"/>
    <m/>
  </r>
  <r>
    <n v="29"/>
    <s v="2-#9 WALL END VERT"/>
    <n v="3"/>
    <n v="2"/>
    <x v="6"/>
    <x v="1"/>
    <n v="13.08"/>
    <n v="266.83199999999999"/>
    <m/>
  </r>
  <r>
    <n v="30"/>
    <s v="#3 @4&quot; H-PIN"/>
    <n v="3"/>
    <n v="17"/>
    <x v="5"/>
    <x v="3"/>
    <n v="1.3299999999999998"/>
    <n v="25.504080000000002"/>
    <m/>
  </r>
  <r>
    <n v="31"/>
    <s v="4-#7 WALL END VERT"/>
    <m/>
    <n v="4"/>
    <x v="1"/>
    <x v="1"/>
    <n v="13.08"/>
    <n v="106.94208"/>
    <m/>
  </r>
  <r>
    <n v="32"/>
    <s v="#3 @4&quot; TIES"/>
    <m/>
    <n v="17"/>
    <x v="5"/>
    <x v="3"/>
    <n v="2.5"/>
    <n v="15.979999999999999"/>
    <m/>
  </r>
  <r>
    <n v="33"/>
    <s v="4-#8 WALL END VERT"/>
    <n v="10"/>
    <n v="4"/>
    <x v="4"/>
    <x v="1"/>
    <n v="13.08"/>
    <n v="1396.944"/>
    <m/>
  </r>
  <r>
    <n v="34"/>
    <s v="#3 @4&quot; H-PIN"/>
    <n v="10"/>
    <n v="17"/>
    <x v="5"/>
    <x v="3"/>
    <n v="2.5"/>
    <n v="159.79999999999998"/>
    <m/>
  </r>
  <r>
    <n v="35"/>
    <s v="4-#9 WALL END VERT"/>
    <n v="2"/>
    <n v="4"/>
    <x v="6"/>
    <x v="1"/>
    <n v="13.08"/>
    <n v="355.77600000000001"/>
    <m/>
  </r>
  <r>
    <n v="36"/>
    <s v="#3 @4&quot; H-PIN"/>
    <n v="2"/>
    <n v="17"/>
    <x v="5"/>
    <x v="3"/>
    <n v="2.5"/>
    <n v="31.959999999999997"/>
    <m/>
  </r>
  <r>
    <n v="37"/>
    <s v="8&quot; THK ELEVATOR PIT WALL FTG"/>
    <m/>
    <m/>
    <x v="0"/>
    <x v="0"/>
    <m/>
    <n v="0"/>
    <m/>
  </r>
  <r>
    <n v="38"/>
    <s v=" (SEC:S-11/15)"/>
    <m/>
    <m/>
    <x v="0"/>
    <x v="0"/>
    <m/>
    <n v="0"/>
    <m/>
  </r>
  <r>
    <n v="39"/>
    <s v="#4 @12&quot; CONT"/>
    <m/>
    <n v="6"/>
    <x v="2"/>
    <x v="2"/>
    <n v="40"/>
    <n v="160.32000000000002"/>
    <m/>
  </r>
  <r>
    <n v="40"/>
    <s v="&quot;"/>
    <m/>
    <n v="6"/>
    <x v="2"/>
    <x v="1"/>
    <n v="21.66"/>
    <n v="86.813280000000006"/>
    <m/>
  </r>
  <r>
    <n v="41"/>
    <s v="#4 @12&quot; DWLS"/>
    <m/>
    <n v="60"/>
    <x v="2"/>
    <x v="3"/>
    <n v="6"/>
    <n v="240.48"/>
    <m/>
  </r>
  <r>
    <n v="42"/>
    <s v="#4 @12&quot; COR"/>
    <n v="4"/>
    <n v="6"/>
    <x v="2"/>
    <x v="3"/>
    <n v="5.4"/>
    <n v="86.572800000000015"/>
    <m/>
  </r>
  <r>
    <n v="43"/>
    <s v="#5 SUPPORT BARS "/>
    <m/>
    <n v="50"/>
    <x v="3"/>
    <x v="2"/>
    <n v="40"/>
    <n v="2086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151422.59516500004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1">
  <r>
    <n v="1"/>
    <s v="SHT.NO:S-3A CONC. DECK REINF. LAYOUT PLAN"/>
    <m/>
    <m/>
    <x v="0"/>
    <x v="0"/>
    <m/>
    <n v="0"/>
    <m/>
  </r>
  <r>
    <n v="2"/>
    <s v="CONCRETE BEAMS"/>
    <m/>
    <m/>
    <x v="0"/>
    <x v="0"/>
    <m/>
    <n v="0"/>
    <m/>
  </r>
  <r>
    <n v="3"/>
    <s v="P1 LVL BEAMS"/>
    <m/>
    <m/>
    <x v="0"/>
    <x v="0"/>
    <m/>
    <n v="0"/>
    <m/>
  </r>
  <r>
    <n v="4"/>
    <s v="B15 (12&quot;x48&quot; DP) (SEC 12/S-12)"/>
    <m/>
    <m/>
    <x v="0"/>
    <x v="0"/>
    <m/>
    <n v="0"/>
    <m/>
  </r>
  <r>
    <n v="5"/>
    <s v="4-#9 BOT"/>
    <m/>
    <n v="4"/>
    <x v="1"/>
    <x v="1"/>
    <n v="34.375"/>
    <n v="467.5"/>
    <m/>
  </r>
  <r>
    <n v="6"/>
    <s v="2-#8 TOP"/>
    <m/>
    <n v="2"/>
    <x v="2"/>
    <x v="2"/>
    <n v="37.75"/>
    <n v="201.58500000000001"/>
    <m/>
  </r>
  <r>
    <n v="7"/>
    <s v="#3 @8&quot; STIR."/>
    <m/>
    <n v="44"/>
    <x v="3"/>
    <x v="2"/>
    <n v="9.66"/>
    <n v="159.81504000000001"/>
    <m/>
  </r>
  <r>
    <n v="8"/>
    <s v="B16 (24&quot;x24&quot; DP) (SEC 16/S-12)"/>
    <m/>
    <m/>
    <x v="0"/>
    <x v="0"/>
    <m/>
    <n v="0"/>
    <m/>
  </r>
  <r>
    <n v="9"/>
    <s v="5-#10 BOT"/>
    <m/>
    <n v="5"/>
    <x v="4"/>
    <x v="1"/>
    <n v="27"/>
    <n v="580.90499999999997"/>
    <m/>
  </r>
  <r>
    <n v="10"/>
    <s v="3-#8 TOP"/>
    <m/>
    <n v="3"/>
    <x v="2"/>
    <x v="1"/>
    <n v="35.25"/>
    <n v="282.35249999999996"/>
    <m/>
  </r>
  <r>
    <n v="11"/>
    <s v="#3 @8&quot; STIR."/>
    <m/>
    <n v="41"/>
    <x v="3"/>
    <x v="2"/>
    <n v="7.66"/>
    <n v="118.08656000000001"/>
    <m/>
  </r>
  <r>
    <n v="12"/>
    <s v="B17 (24&quot;x24&quot; DP) (SEC 15/S-12)"/>
    <m/>
    <m/>
    <x v="0"/>
    <x v="0"/>
    <m/>
    <n v="0"/>
    <m/>
  </r>
  <r>
    <n v="13"/>
    <s v="6-#10 BOT"/>
    <m/>
    <n v="6"/>
    <x v="4"/>
    <x v="1"/>
    <n v="27.25"/>
    <n v="703.54049999999995"/>
    <m/>
  </r>
  <r>
    <n v="14"/>
    <s v="3-#9 TOP"/>
    <m/>
    <n v="3"/>
    <x v="1"/>
    <x v="2"/>
    <n v="33.25"/>
    <n v="339.15"/>
    <m/>
  </r>
  <r>
    <n v="15"/>
    <s v="#3 @8&quot; STIR."/>
    <m/>
    <n v="39"/>
    <x v="3"/>
    <x v="2"/>
    <n v="7.66"/>
    <n v="112.32624"/>
    <m/>
  </r>
  <r>
    <n v="16"/>
    <s v="B18 (8&quot;x42&quot; DP) (SEC 13/S-12)"/>
    <m/>
    <m/>
    <x v="0"/>
    <x v="0"/>
    <m/>
    <n v="0"/>
    <m/>
  </r>
  <r>
    <n v="17"/>
    <s v="2-#7 BOT"/>
    <m/>
    <n v="2"/>
    <x v="5"/>
    <x v="1"/>
    <n v="27.375"/>
    <n v="111.90900000000001"/>
    <m/>
  </r>
  <r>
    <n v="18"/>
    <s v="2-#5 TOP"/>
    <m/>
    <n v="2"/>
    <x v="6"/>
    <x v="2"/>
    <n v="26.75"/>
    <n v="55.8005"/>
    <m/>
  </r>
  <r>
    <n v="19"/>
    <s v="2-#5 MID"/>
    <m/>
    <n v="2"/>
    <x v="6"/>
    <x v="1"/>
    <n v="23.25"/>
    <n v="48.499499999999998"/>
    <m/>
  </r>
  <r>
    <n v="20"/>
    <s v="#5@12&quot; SLAB DWLS"/>
    <m/>
    <n v="23"/>
    <x v="6"/>
    <x v="2"/>
    <n v="4.5"/>
    <n v="107.95049999999999"/>
    <m/>
  </r>
  <r>
    <n v="21"/>
    <s v="#3 @8&quot; STIR."/>
    <m/>
    <n v="34"/>
    <x v="3"/>
    <x v="2"/>
    <n v="8"/>
    <n v="102.27200000000001"/>
    <m/>
  </r>
  <r>
    <n v="22"/>
    <s v="B19 (24&quot;x24&quot; DP) (SEC 11/S-12)"/>
    <m/>
    <m/>
    <x v="0"/>
    <x v="0"/>
    <m/>
    <n v="0"/>
    <m/>
  </r>
  <r>
    <n v="23"/>
    <s v="4-#9 BOT"/>
    <m/>
    <n v="4"/>
    <x v="1"/>
    <x v="1"/>
    <n v="23.5"/>
    <n v="319.59999999999997"/>
    <m/>
  </r>
  <r>
    <n v="24"/>
    <s v="3-#7 TOP"/>
    <m/>
    <n v="3"/>
    <x v="5"/>
    <x v="2"/>
    <n v="29.375"/>
    <n v="180.1275"/>
    <m/>
  </r>
  <r>
    <n v="25"/>
    <s v="#3 @8&quot; STIR."/>
    <m/>
    <n v="34"/>
    <x v="3"/>
    <x v="2"/>
    <n v="7.66"/>
    <n v="97.925440000000009"/>
    <m/>
  </r>
  <r>
    <n v="26"/>
    <s v="B20 (24&quot;x24&quot; DP) (SEC 10/S-12)"/>
    <m/>
    <m/>
    <x v="0"/>
    <x v="0"/>
    <m/>
    <n v="0"/>
    <m/>
  </r>
  <r>
    <n v="27"/>
    <s v="4-#9 BOT"/>
    <m/>
    <n v="4"/>
    <x v="1"/>
    <x v="1"/>
    <n v="23.5"/>
    <n v="319.59999999999997"/>
    <m/>
  </r>
  <r>
    <n v="28"/>
    <s v="3-#7 TOP"/>
    <m/>
    <n v="3"/>
    <x v="5"/>
    <x v="2"/>
    <n v="29.375"/>
    <n v="180.1275"/>
    <m/>
  </r>
  <r>
    <n v="29"/>
    <s v="#3 @8&quot; STIR."/>
    <m/>
    <n v="34"/>
    <x v="3"/>
    <x v="2"/>
    <n v="7.66"/>
    <n v="97.925440000000009"/>
    <m/>
  </r>
  <r>
    <n v="30"/>
    <s v="CMU DWLS (SEC 12/S-12)"/>
    <m/>
    <m/>
    <x v="0"/>
    <x v="0"/>
    <m/>
    <n v="0"/>
    <m/>
  </r>
  <r>
    <n v="31"/>
    <s v="#5 @16&quot; CMU DWLS"/>
    <m/>
    <n v="23"/>
    <x v="6"/>
    <x v="1"/>
    <n v="6.84"/>
    <n v="164.08475999999999"/>
    <m/>
  </r>
  <r>
    <n v="32"/>
    <m/>
    <m/>
    <m/>
    <x v="0"/>
    <x v="0"/>
    <m/>
    <n v="0"/>
    <m/>
  </r>
  <r>
    <n v="33"/>
    <m/>
    <m/>
    <m/>
    <x v="0"/>
    <x v="0"/>
    <m/>
    <n v="0"/>
    <m/>
  </r>
  <r>
    <n v="34"/>
    <m/>
    <m/>
    <m/>
    <x v="0"/>
    <x v="0"/>
    <m/>
    <n v="0"/>
    <m/>
  </r>
  <r>
    <n v="35"/>
    <m/>
    <m/>
    <m/>
    <x v="0"/>
    <x v="0"/>
    <m/>
    <n v="0"/>
    <m/>
  </r>
  <r>
    <n v="36"/>
    <m/>
    <m/>
    <m/>
    <x v="0"/>
    <x v="0"/>
    <m/>
    <n v="0"/>
    <m/>
  </r>
  <r>
    <n v="37"/>
    <m/>
    <m/>
    <m/>
    <x v="0"/>
    <x v="0"/>
    <m/>
    <n v="0"/>
    <m/>
  </r>
  <r>
    <n v="38"/>
    <m/>
    <m/>
    <m/>
    <x v="0"/>
    <x v="0"/>
    <m/>
    <n v="0"/>
    <m/>
  </r>
  <r>
    <n v="39"/>
    <m/>
    <m/>
    <m/>
    <x v="0"/>
    <x v="0"/>
    <m/>
    <n v="0"/>
    <m/>
  </r>
  <r>
    <n v="40"/>
    <m/>
    <m/>
    <m/>
    <x v="0"/>
    <x v="0"/>
    <m/>
    <n v="0"/>
    <m/>
  </r>
  <r>
    <n v="41"/>
    <m/>
    <m/>
    <m/>
    <x v="0"/>
    <x v="0"/>
    <m/>
    <n v="0"/>
    <m/>
  </r>
  <r>
    <n v="42"/>
    <m/>
    <m/>
    <m/>
    <x v="0"/>
    <x v="0"/>
    <m/>
    <n v="0"/>
    <m/>
  </r>
  <r>
    <n v="43"/>
    <m/>
    <m/>
    <m/>
    <x v="0"/>
    <x v="0"/>
    <m/>
    <n v="0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1898.1483799999999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51">
  <r>
    <n v="1"/>
    <s v="SHT.NO:S-3 P1 PARKING LEVEL SLAB"/>
    <m/>
    <m/>
    <x v="0"/>
    <x v="0"/>
    <m/>
    <n v="0"/>
    <m/>
  </r>
  <r>
    <n v="2"/>
    <s v="12&quot;THK CONC.DECK SLAB"/>
    <m/>
    <m/>
    <x v="0"/>
    <x v="0"/>
    <m/>
    <n v="0"/>
    <m/>
  </r>
  <r>
    <n v="3"/>
    <s v="EDGE STRIP (E-W DIRECTION)"/>
    <m/>
    <m/>
    <x v="0"/>
    <x v="0"/>
    <m/>
    <n v="0"/>
    <m/>
  </r>
  <r>
    <n v="4"/>
    <s v="#5 @12&quot; BOT GRID:F TO E.1 "/>
    <m/>
    <n v="14"/>
    <x v="1"/>
    <x v="1"/>
    <n v="4"/>
    <n v="58.407999999999994"/>
    <m/>
  </r>
  <r>
    <n v="5"/>
    <s v="#6 @10&quot; BOT"/>
    <m/>
    <n v="17"/>
    <x v="2"/>
    <x v="2"/>
    <n v="34.67"/>
    <n v="885.26378"/>
    <m/>
  </r>
  <r>
    <n v="6"/>
    <s v="#5 @10&quot; BOT"/>
    <m/>
    <n v="17"/>
    <x v="1"/>
    <x v="2"/>
    <n v="29.5"/>
    <n v="523.06449999999995"/>
    <m/>
  </r>
  <r>
    <n v="7"/>
    <s v="#5 @10&quot; BOT"/>
    <m/>
    <n v="17"/>
    <x v="1"/>
    <x v="2"/>
    <n v="29.5"/>
    <n v="523.06449999999995"/>
    <m/>
  </r>
  <r>
    <n v="8"/>
    <s v="#7 @12&quot; BOT"/>
    <m/>
    <n v="14"/>
    <x v="3"/>
    <x v="2"/>
    <n v="31"/>
    <n v="887.096"/>
    <m/>
  </r>
  <r>
    <n v="9"/>
    <s v="#5 @12&quot; BOT"/>
    <m/>
    <n v="14"/>
    <x v="1"/>
    <x v="2"/>
    <n v="15.66"/>
    <n v="228.66731999999996"/>
    <m/>
  </r>
  <r>
    <n v="10"/>
    <s v="#7 @12&quot; BOT"/>
    <m/>
    <n v="14"/>
    <x v="3"/>
    <x v="2"/>
    <n v="26.680000000000007"/>
    <n v="763.47488000000021"/>
    <m/>
  </r>
  <r>
    <n v="11"/>
    <s v="#8 @12&quot; BOT"/>
    <m/>
    <n v="14"/>
    <x v="4"/>
    <x v="2"/>
    <n v="31.17"/>
    <n v="1165.1346000000001"/>
    <m/>
  </r>
  <r>
    <n v="12"/>
    <s v="COLUMN STRIP"/>
    <m/>
    <m/>
    <x v="0"/>
    <x v="0"/>
    <m/>
    <n v="0"/>
    <m/>
  </r>
  <r>
    <n v="13"/>
    <s v="#8 @12&quot; BOT"/>
    <m/>
    <n v="13"/>
    <x v="4"/>
    <x v="2"/>
    <n v="22.510000000000005"/>
    <n v="781.32210000000021"/>
    <m/>
  </r>
  <r>
    <n v="14"/>
    <s v="#6 @12&quot; BOT"/>
    <m/>
    <n v="13"/>
    <x v="2"/>
    <x v="2"/>
    <n v="30.25"/>
    <n v="590.66149999999993"/>
    <m/>
  </r>
  <r>
    <n v="15"/>
    <s v="#6 @10&quot; BOT"/>
    <m/>
    <n v="15"/>
    <x v="2"/>
    <x v="2"/>
    <n v="29.83"/>
    <n v="672.06989999999996"/>
    <m/>
  </r>
  <r>
    <n v="16"/>
    <s v="#6 @10&quot; BOT"/>
    <m/>
    <n v="15"/>
    <x v="2"/>
    <x v="2"/>
    <n v="29.83"/>
    <n v="672.06989999999996"/>
    <m/>
  </r>
  <r>
    <n v="17"/>
    <s v="#8 @12&quot; BOT"/>
    <m/>
    <n v="13"/>
    <x v="4"/>
    <x v="2"/>
    <n v="30.67"/>
    <n v="1064.5557000000001"/>
    <m/>
  </r>
  <r>
    <n v="18"/>
    <s v="MIDDLE STRIP"/>
    <m/>
    <m/>
    <x v="0"/>
    <x v="0"/>
    <m/>
    <n v="0"/>
    <m/>
  </r>
  <r>
    <n v="19"/>
    <s v="#5 @12&quot; BOT"/>
    <m/>
    <n v="16"/>
    <x v="1"/>
    <x v="1"/>
    <n v="21.83"/>
    <n v="364.29903999999993"/>
    <m/>
  </r>
  <r>
    <n v="20"/>
    <s v="#5 @10&quot; BOT"/>
    <m/>
    <n v="19"/>
    <x v="1"/>
    <x v="2"/>
    <n v="29.5"/>
    <n v="584.60149999999999"/>
    <m/>
  </r>
  <r>
    <n v="21"/>
    <s v="#5 @10&quot; BOT"/>
    <m/>
    <n v="19"/>
    <x v="1"/>
    <x v="2"/>
    <n v="29"/>
    <n v="574.69299999999998"/>
    <m/>
  </r>
  <r>
    <n v="22"/>
    <s v="#5 @12&quot; BOT"/>
    <m/>
    <n v="16"/>
    <x v="1"/>
    <x v="2"/>
    <n v="25.58"/>
    <n v="426.87903999999992"/>
    <m/>
  </r>
  <r>
    <n v="23"/>
    <s v="#7 @12&quot; BOT"/>
    <m/>
    <n v="16"/>
    <x v="3"/>
    <x v="2"/>
    <n v="32.5"/>
    <n v="1062.8800000000001"/>
    <m/>
  </r>
  <r>
    <n v="24"/>
    <s v="#5 @12&quot; BOT"/>
    <m/>
    <n v="16"/>
    <x v="1"/>
    <x v="1"/>
    <n v="39.5"/>
    <n v="659.17599999999993"/>
    <m/>
  </r>
  <r>
    <n v="25"/>
    <s v="COLUMN STRIP"/>
    <m/>
    <m/>
    <x v="0"/>
    <x v="0"/>
    <m/>
    <n v="0"/>
    <m/>
  </r>
  <r>
    <n v="26"/>
    <s v="#6 @12&quot; BOT"/>
    <m/>
    <n v="13"/>
    <x v="2"/>
    <x v="1"/>
    <n v="21.92"/>
    <n v="428.00992000000008"/>
    <m/>
  </r>
  <r>
    <n v="27"/>
    <s v="#6 @12&quot; BOT"/>
    <m/>
    <n v="13"/>
    <x v="2"/>
    <x v="2"/>
    <n v="31.5"/>
    <n v="615.06900000000007"/>
    <m/>
  </r>
  <r>
    <n v="28"/>
    <s v="#6 @12&quot; BOT"/>
    <m/>
    <n v="13"/>
    <x v="2"/>
    <x v="2"/>
    <n v="30.25"/>
    <n v="590.66149999999993"/>
    <m/>
  </r>
  <r>
    <n v="29"/>
    <s v="#5 @12&quot; BOT"/>
    <m/>
    <n v="13"/>
    <x v="1"/>
    <x v="2"/>
    <n v="20.909999999999997"/>
    <n v="283.51868999999994"/>
    <m/>
  </r>
  <r>
    <n v="30"/>
    <s v="#8 @10&quot; BOT"/>
    <m/>
    <n v="15"/>
    <x v="4"/>
    <x v="2"/>
    <n v="36.840000000000003"/>
    <n v="1475.442"/>
    <m/>
  </r>
  <r>
    <n v="31"/>
    <s v="#5 @12&quot; BOT"/>
    <m/>
    <n v="13"/>
    <x v="1"/>
    <x v="2"/>
    <n v="7.41"/>
    <n v="100.47219"/>
    <m/>
  </r>
  <r>
    <n v="32"/>
    <s v="MIDDLE STRIP"/>
    <m/>
    <m/>
    <x v="0"/>
    <x v="0"/>
    <m/>
    <n v="0"/>
    <m/>
  </r>
  <r>
    <n v="33"/>
    <s v="#6 @12&quot; BOT"/>
    <m/>
    <n v="10"/>
    <x v="1"/>
    <x v="2"/>
    <n v="11.17"/>
    <n v="116.50309999999999"/>
    <m/>
  </r>
  <r>
    <n v="34"/>
    <s v="#7 @12&quot; BOT"/>
    <m/>
    <n v="10"/>
    <x v="3"/>
    <x v="2"/>
    <n v="26.67"/>
    <n v="545.13480000000004"/>
    <m/>
  </r>
  <r>
    <n v="35"/>
    <s v="#5 @10&quot; BOT"/>
    <m/>
    <n v="12"/>
    <x v="1"/>
    <x v="2"/>
    <n v="29"/>
    <n v="362.96399999999994"/>
    <m/>
  </r>
  <r>
    <n v="36"/>
    <s v="#5 @12&quot; BOT"/>
    <m/>
    <n v="10"/>
    <x v="1"/>
    <x v="2"/>
    <n v="20.25"/>
    <n v="211.20749999999998"/>
    <m/>
  </r>
  <r>
    <n v="37"/>
    <s v="#7 @10&quot; BOT"/>
    <m/>
    <n v="12"/>
    <x v="3"/>
    <x v="2"/>
    <n v="32"/>
    <n v="784.89599999999996"/>
    <m/>
  </r>
  <r>
    <n v="38"/>
    <s v="#5 @12&quot; BOT"/>
    <m/>
    <n v="29"/>
    <x v="1"/>
    <x v="1"/>
    <n v="38.92"/>
    <n v="1177.2132399999998"/>
    <m/>
  </r>
  <r>
    <n v="39"/>
    <s v="COLUMN STRIP"/>
    <m/>
    <m/>
    <x v="0"/>
    <x v="0"/>
    <m/>
    <n v="0"/>
    <m/>
  </r>
  <r>
    <n v="40"/>
    <s v="#8 @12&quot; BOT"/>
    <m/>
    <n v="11"/>
    <x v="4"/>
    <x v="2"/>
    <n v="21.090000000000003"/>
    <n v="619.41330000000005"/>
    <m/>
  </r>
  <r>
    <n v="41"/>
    <s v="#7 @10&quot; BOT"/>
    <m/>
    <n v="13"/>
    <x v="3"/>
    <x v="2"/>
    <n v="31.67"/>
    <n v="841.53524000000004"/>
    <m/>
  </r>
  <r>
    <n v="42"/>
    <s v="#5 @10&quot; BOT"/>
    <m/>
    <n v="13"/>
    <x v="1"/>
    <x v="2"/>
    <n v="29.33"/>
    <n v="397.68546999999995"/>
    <m/>
  </r>
  <r>
    <n v="43"/>
    <s v="#5 @10&quot; BOT"/>
    <m/>
    <n v="13"/>
    <x v="1"/>
    <x v="2"/>
    <n v="21.159999999999997"/>
    <n v="286.90843999999993"/>
    <m/>
  </r>
  <r>
    <n v="44"/>
    <s v="#8 @10&quot; BOT"/>
    <m/>
    <n v="13"/>
    <x v="4"/>
    <x v="2"/>
    <n v="36.260000000000005"/>
    <n v="1258.5846000000001"/>
    <m/>
  </r>
  <r>
    <n v="45"/>
    <s v="#5 @12&quot; BOT"/>
    <m/>
    <n v="11"/>
    <x v="1"/>
    <x v="2"/>
    <n v="8.08"/>
    <n v="92.70183999999999"/>
    <m/>
  </r>
  <r>
    <n v="46"/>
    <s v="#9 @10&quot; BOT"/>
    <m/>
    <n v="13"/>
    <x v="5"/>
    <x v="2"/>
    <n v="28.67"/>
    <n v="1267.2140000000002"/>
    <m/>
  </r>
  <r>
    <n v="47"/>
    <s v="MIDDLE STRIP"/>
    <m/>
    <m/>
    <x v="0"/>
    <x v="0"/>
    <m/>
    <n v="0"/>
    <m/>
  </r>
  <r>
    <n v="48"/>
    <s v="#7 @12&quot; BOT"/>
    <m/>
    <n v="12"/>
    <x v="3"/>
    <x v="1"/>
    <n v="20.92"/>
    <n v="513.12576000000001"/>
    <m/>
  </r>
  <r>
    <n v="49"/>
    <s v="#6 @12&quot; BOT"/>
    <m/>
    <n v="12"/>
    <x v="2"/>
    <x v="2"/>
    <n v="31"/>
    <n v="558.74399999999991"/>
    <m/>
  </r>
  <r>
    <n v="50"/>
    <s v="#5 @12&quot; BOT"/>
    <m/>
    <n v="12"/>
    <x v="1"/>
    <x v="2"/>
    <n v="24.33"/>
    <n v="304.51427999999999"/>
    <m/>
  </r>
  <r>
    <n v="51"/>
    <s v="#5 @12&quot; BOT"/>
    <m/>
    <n v="12"/>
    <x v="1"/>
    <x v="2"/>
    <n v="24.83"/>
    <n v="310.77227999999997"/>
    <m/>
  </r>
  <r>
    <n v="52"/>
    <s v="#7 @10&quot; BOT"/>
    <m/>
    <n v="14"/>
    <x v="3"/>
    <x v="1"/>
    <n v="33.260000000000005"/>
    <n v="951.76816000000019"/>
    <m/>
  </r>
  <r>
    <n v="53"/>
    <s v="COLUMN STRIP"/>
    <m/>
    <m/>
    <x v="0"/>
    <x v="0"/>
    <m/>
    <n v="0"/>
    <m/>
  </r>
  <r>
    <n v="54"/>
    <s v="#8 @12&quot; BOT"/>
    <m/>
    <n v="13"/>
    <x v="4"/>
    <x v="1"/>
    <n v="21.340000000000003"/>
    <n v="740.71140000000014"/>
    <m/>
  </r>
  <r>
    <n v="55"/>
    <s v="#7 @12&quot; BOT"/>
    <m/>
    <n v="13"/>
    <x v="3"/>
    <x v="2"/>
    <n v="33.67"/>
    <n v="894.67924000000016"/>
    <m/>
  </r>
  <r>
    <n v="56"/>
    <s v="#5 @12&quot; BOT"/>
    <m/>
    <n v="13"/>
    <x v="1"/>
    <x v="2"/>
    <n v="23.659999999999997"/>
    <n v="320.80593999999996"/>
    <m/>
  </r>
  <r>
    <n v="57"/>
    <s v="#5 @12&quot; BOT"/>
    <m/>
    <n v="13"/>
    <x v="1"/>
    <x v="2"/>
    <n v="27.33"/>
    <n v="370.56746999999996"/>
    <m/>
  </r>
  <r>
    <n v="58"/>
    <s v="#7 @12&quot; BOT"/>
    <m/>
    <n v="13"/>
    <x v="3"/>
    <x v="2"/>
    <n v="32.340000000000003"/>
    <n v="859.33848000000012"/>
    <m/>
  </r>
  <r>
    <n v="59"/>
    <s v="#5 @10&quot; BOT"/>
    <m/>
    <n v="15"/>
    <x v="1"/>
    <x v="2"/>
    <n v="21.33"/>
    <n v="333.70784999999995"/>
    <m/>
  </r>
  <r>
    <n v="60"/>
    <s v="#6 @12&quot; BOT"/>
    <m/>
    <n v="13"/>
    <x v="2"/>
    <x v="1"/>
    <n v="18.920000000000002"/>
    <n v="369.43192000000005"/>
    <m/>
  </r>
  <r>
    <n v="61"/>
    <s v="COLUMN STRIP"/>
    <m/>
    <m/>
    <x v="0"/>
    <x v="0"/>
    <m/>
    <n v="0"/>
    <m/>
  </r>
  <r>
    <n v="62"/>
    <s v="#6 @12&quot; BOT"/>
    <m/>
    <n v="13"/>
    <x v="2"/>
    <x v="1"/>
    <n v="20.420000000000002"/>
    <n v="398.72092000000004"/>
    <m/>
  </r>
  <r>
    <n v="63"/>
    <s v="#8 @12&quot; BOT"/>
    <m/>
    <n v="13"/>
    <x v="4"/>
    <x v="1"/>
    <n v="34.840000000000003"/>
    <n v="1209.2963999999999"/>
    <m/>
  </r>
  <r>
    <n v="64"/>
    <s v="MIDDLE STRIP"/>
    <m/>
    <m/>
    <x v="0"/>
    <x v="0"/>
    <m/>
    <n v="0"/>
    <m/>
  </r>
  <r>
    <n v="65"/>
    <s v="#5 @12&quot; BOT"/>
    <m/>
    <n v="4"/>
    <x v="1"/>
    <x v="1"/>
    <n v="19.670000000000002"/>
    <n v="82.063240000000008"/>
    <m/>
  </r>
  <r>
    <n v="66"/>
    <s v="#7 @12&quot; BOT"/>
    <m/>
    <n v="4"/>
    <x v="3"/>
    <x v="1"/>
    <n v="33.25"/>
    <n v="271.85200000000003"/>
    <m/>
  </r>
  <r>
    <n v="67"/>
    <s v="MIDDLE STRIP"/>
    <m/>
    <m/>
    <x v="0"/>
    <x v="0"/>
    <m/>
    <n v="0"/>
    <m/>
  </r>
  <r>
    <n v="68"/>
    <s v="#8 @12&quot; BOT"/>
    <m/>
    <n v="14"/>
    <x v="4"/>
    <x v="3"/>
    <n v="40"/>
    <n v="1495.2"/>
    <m/>
  </r>
  <r>
    <n v="69"/>
    <s v="&quot;"/>
    <m/>
    <n v="14"/>
    <x v="4"/>
    <x v="1"/>
    <n v="15.829999999999998"/>
    <n v="591.72539999999992"/>
    <m/>
  </r>
  <r>
    <n v="70"/>
    <s v="#6 @10&quot; BOT"/>
    <m/>
    <n v="18"/>
    <x v="2"/>
    <x v="2"/>
    <n v="30.5"/>
    <n v="824.59799999999996"/>
    <m/>
  </r>
  <r>
    <n v="71"/>
    <s v="#5 @12&quot; BOT"/>
    <m/>
    <n v="15"/>
    <x v="1"/>
    <x v="2"/>
    <n v="20.75"/>
    <n v="324.63374999999996"/>
    <m/>
  </r>
  <r>
    <n v="72"/>
    <s v="#5 @12&quot; BOT"/>
    <m/>
    <n v="15"/>
    <x v="1"/>
    <x v="1"/>
    <n v="18.75"/>
    <n v="293.34375"/>
    <m/>
  </r>
  <r>
    <n v="73"/>
    <s v="#7 @10&quot; BOT"/>
    <m/>
    <n v="9"/>
    <x v="3"/>
    <x v="1"/>
    <n v="31.42"/>
    <n v="578.00232000000005"/>
    <m/>
  </r>
  <r>
    <n v="74"/>
    <s v="#5 @10&quot; BOT"/>
    <m/>
    <n v="9"/>
    <x v="1"/>
    <x v="2"/>
    <n v="20.75"/>
    <n v="194.78024999999997"/>
    <m/>
  </r>
  <r>
    <n v="75"/>
    <s v="#6 @12&quot; BOT"/>
    <m/>
    <n v="7"/>
    <x v="2"/>
    <x v="1"/>
    <n v="19.25"/>
    <n v="202.39449999999999"/>
    <m/>
  </r>
  <r>
    <n v="76"/>
    <s v="EDGE STRIP (TOP BARS)"/>
    <m/>
    <m/>
    <x v="0"/>
    <x v="0"/>
    <m/>
    <n v="0"/>
    <m/>
  </r>
  <r>
    <n v="77"/>
    <s v="#5 @12&quot; TOP GRID:F TO E.1 "/>
    <m/>
    <n v="14"/>
    <x v="1"/>
    <x v="1"/>
    <n v="16.1145"/>
    <n v="235.30392899999998"/>
    <m/>
  </r>
  <r>
    <n v="78"/>
    <s v="#7 @12&quot; TOP"/>
    <m/>
    <n v="14"/>
    <x v="3"/>
    <x v="1"/>
    <n v="16.454499999999999"/>
    <n v="470.86197200000004"/>
    <m/>
  </r>
  <r>
    <n v="79"/>
    <s v="#6 @12&quot; TOP"/>
    <m/>
    <n v="14"/>
    <x v="2"/>
    <x v="2"/>
    <n v="20.059999999999999"/>
    <n v="421.82167999999996"/>
    <m/>
  </r>
  <r>
    <n v="80"/>
    <s v="#8 @10&quot; TOP"/>
    <m/>
    <n v="16"/>
    <x v="4"/>
    <x v="2"/>
    <n v="20.059999999999999"/>
    <n v="856.96319999999992"/>
    <m/>
  </r>
  <r>
    <n v="81"/>
    <s v="#6 @12&quot; TOP"/>
    <m/>
    <n v="14"/>
    <x v="2"/>
    <x v="2"/>
    <n v="19.7"/>
    <n v="414.25159999999994"/>
    <m/>
  </r>
  <r>
    <n v="82"/>
    <s v="#7 @12&quot; TOP"/>
    <m/>
    <n v="14"/>
    <x v="3"/>
    <x v="2"/>
    <n v="20.34"/>
    <n v="582.04944"/>
    <m/>
  </r>
  <r>
    <n v="83"/>
    <s v="#5 @12&quot; TOP"/>
    <m/>
    <n v="14"/>
    <x v="1"/>
    <x v="1"/>
    <n v="14.399999999999999"/>
    <n v="210.26879999999997"/>
    <m/>
  </r>
  <r>
    <n v="84"/>
    <s v="COLUMN STRIP"/>
    <m/>
    <m/>
    <x v="0"/>
    <x v="0"/>
    <m/>
    <n v="0"/>
    <m/>
  </r>
  <r>
    <n v="85"/>
    <s v="#6 @12&quot; TOP"/>
    <m/>
    <n v="13"/>
    <x v="2"/>
    <x v="1"/>
    <n v="8.2104999999999997"/>
    <n v="160.31822299999999"/>
    <m/>
  </r>
  <r>
    <n v="86"/>
    <s v="#9 @6&quot; TOP"/>
    <m/>
    <n v="25"/>
    <x v="5"/>
    <x v="2"/>
    <n v="20.059999999999999"/>
    <n v="1705.1"/>
    <m/>
  </r>
  <r>
    <n v="87"/>
    <s v="#8 @12&quot; TOP"/>
    <n v="2"/>
    <n v="13"/>
    <x v="4"/>
    <x v="2"/>
    <n v="20.059999999999999"/>
    <n v="1392.5651999999998"/>
    <m/>
  </r>
  <r>
    <n v="88"/>
    <s v="#9 @12&quot; TOP"/>
    <m/>
    <n v="13"/>
    <x v="5"/>
    <x v="2"/>
    <n v="20.34"/>
    <n v="899.02799999999991"/>
    <m/>
  </r>
  <r>
    <n v="89"/>
    <s v="MIDDLE STRIP"/>
    <m/>
    <m/>
    <x v="0"/>
    <x v="0"/>
    <m/>
    <n v="0"/>
    <m/>
  </r>
  <r>
    <n v="90"/>
    <s v="#5 @12&quot; TOP"/>
    <m/>
    <n v="16"/>
    <x v="1"/>
    <x v="1"/>
    <n v="20.25"/>
    <n v="337.93199999999996"/>
    <m/>
  </r>
  <r>
    <n v="91"/>
    <s v="#8 @12&quot; TOP"/>
    <m/>
    <n v="16"/>
    <x v="4"/>
    <x v="2"/>
    <n v="14.86"/>
    <n v="634.81919999999991"/>
    <m/>
  </r>
  <r>
    <n v="92"/>
    <s v="#5 @12&quot; TOP"/>
    <m/>
    <n v="16"/>
    <x v="1"/>
    <x v="3"/>
    <n v="40"/>
    <n v="667.52"/>
    <m/>
  </r>
  <r>
    <n v="93"/>
    <s v="&quot;"/>
    <m/>
    <n v="16"/>
    <x v="1"/>
    <x v="2"/>
    <n v="4.0900000000000034"/>
    <n v="68.253920000000051"/>
    <m/>
  </r>
  <r>
    <n v="94"/>
    <s v="#6 @12&quot; TOP"/>
    <m/>
    <n v="16"/>
    <x v="2"/>
    <x v="2"/>
    <n v="14.86"/>
    <n v="357.11552"/>
    <m/>
  </r>
  <r>
    <n v="95"/>
    <s v="#6 @12&quot; TOP"/>
    <m/>
    <n v="16"/>
    <x v="2"/>
    <x v="2"/>
    <n v="36.989999999999995"/>
    <n v="888.94367999999986"/>
    <m/>
  </r>
  <r>
    <n v="96"/>
    <s v="#5 @12&quot; TOP"/>
    <m/>
    <n v="16"/>
    <x v="1"/>
    <x v="2"/>
    <n v="35.25"/>
    <n v="588.25199999999995"/>
    <m/>
  </r>
  <r>
    <n v="97"/>
    <s v="#6 @12&quot; TOP"/>
    <m/>
    <n v="16"/>
    <x v="2"/>
    <x v="2"/>
    <n v="39.25"/>
    <n v="943.25599999999997"/>
    <m/>
  </r>
  <r>
    <n v="98"/>
    <s v="COLUMN STRIP"/>
    <m/>
    <m/>
    <x v="0"/>
    <x v="0"/>
    <m/>
    <n v="0"/>
    <m/>
  </r>
  <r>
    <n v="99"/>
    <s v="#5 @12&quot; TOP"/>
    <m/>
    <n v="13"/>
    <x v="1"/>
    <x v="1"/>
    <n v="7.5749999999999993"/>
    <n v="102.70942499999998"/>
    <m/>
  </r>
  <r>
    <n v="100"/>
    <s v="#5 @12&quot; TOP"/>
    <m/>
    <n v="13"/>
    <x v="1"/>
    <x v="2"/>
    <n v="20.84"/>
    <n v="282.56956000000002"/>
    <m/>
  </r>
  <r>
    <n v="101"/>
    <s v="#8 @10&quot; TOP"/>
    <m/>
    <n v="15"/>
    <x v="4"/>
    <x v="2"/>
    <n v="20.84"/>
    <n v="834.64200000000005"/>
    <m/>
  </r>
  <r>
    <n v="102"/>
    <s v="#9 @10&quot; TOP"/>
    <m/>
    <n v="15"/>
    <x v="5"/>
    <x v="2"/>
    <n v="20.12"/>
    <n v="1026.1200000000001"/>
    <m/>
  </r>
  <r>
    <n v="103"/>
    <s v="#9 @10&quot; TOP"/>
    <m/>
    <n v="15"/>
    <x v="5"/>
    <x v="2"/>
    <n v="24.14"/>
    <n v="1231.1399999999999"/>
    <m/>
  </r>
  <r>
    <n v="104"/>
    <s v="#5 @12&quot; TOP"/>
    <m/>
    <n v="13"/>
    <x v="1"/>
    <x v="2"/>
    <n v="24.14"/>
    <n v="327.31425999999999"/>
    <m/>
  </r>
  <r>
    <n v="105"/>
    <s v="#9 @6&quot; TOP"/>
    <m/>
    <n v="24"/>
    <x v="5"/>
    <x v="1"/>
    <n v="3.4624999999999999"/>
    <n v="282.53999999999996"/>
    <m/>
  </r>
  <r>
    <n v="106"/>
    <s v="MIDDLE STRIP"/>
    <m/>
    <m/>
    <x v="0"/>
    <x v="0"/>
    <m/>
    <n v="0"/>
    <m/>
  </r>
  <r>
    <n v="107"/>
    <s v="#8 @12&quot; TOP"/>
    <m/>
    <n v="10"/>
    <x v="4"/>
    <x v="1"/>
    <n v="7.7925000000000004"/>
    <n v="208.05975000000001"/>
    <m/>
  </r>
  <r>
    <n v="108"/>
    <s v="#5 @12&quot; TOP"/>
    <m/>
    <n v="10"/>
    <x v="1"/>
    <x v="2"/>
    <n v="12.12"/>
    <n v="126.41159999999998"/>
    <m/>
  </r>
  <r>
    <n v="109"/>
    <s v="#5 @12&quot; TOP"/>
    <m/>
    <n v="10"/>
    <x v="1"/>
    <x v="2"/>
    <n v="12.12"/>
    <n v="126.41159999999998"/>
    <m/>
  </r>
  <r>
    <n v="110"/>
    <s v="#5 @12&quot; TOP"/>
    <m/>
    <n v="10"/>
    <x v="1"/>
    <x v="1"/>
    <n v="9.3949999999999996"/>
    <n v="97.98984999999999"/>
    <m/>
  </r>
  <r>
    <n v="111"/>
    <s v="#6 @10&quot; TOP"/>
    <m/>
    <n v="12"/>
    <x v="2"/>
    <x v="2"/>
    <n v="16.28"/>
    <n v="293.43072000000001"/>
    <m/>
  </r>
  <r>
    <n v="112"/>
    <s v="#5 @12&quot; TOP"/>
    <m/>
    <n v="10"/>
    <x v="1"/>
    <x v="2"/>
    <n v="17.239999999999998"/>
    <n v="179.81319999999997"/>
    <m/>
  </r>
  <r>
    <n v="113"/>
    <s v="#8 @12&quot; TOP"/>
    <m/>
    <n v="10"/>
    <x v="4"/>
    <x v="1"/>
    <n v="9.875"/>
    <n v="263.66250000000002"/>
    <m/>
  </r>
  <r>
    <n v="114"/>
    <s v="COLUMN STRIP"/>
    <m/>
    <m/>
    <x v="0"/>
    <x v="0"/>
    <m/>
    <n v="0"/>
    <m/>
  </r>
  <r>
    <n v="115"/>
    <s v="#6 @12&quot; TOP"/>
    <m/>
    <n v="11"/>
    <x v="2"/>
    <x v="1"/>
    <n v="7.8045"/>
    <n v="128.94594900000001"/>
    <m/>
  </r>
  <r>
    <n v="116"/>
    <s v="#9 @6&quot; TOP"/>
    <m/>
    <n v="21"/>
    <x v="5"/>
    <x v="2"/>
    <n v="20.76"/>
    <n v="1482.2640000000001"/>
    <m/>
  </r>
  <r>
    <n v="117"/>
    <s v="#8 @10&quot; TOP"/>
    <m/>
    <n v="13"/>
    <x v="4"/>
    <x v="2"/>
    <n v="20.76"/>
    <n v="720.57960000000003"/>
    <m/>
  </r>
  <r>
    <n v="118"/>
    <s v="#5 @10&quot; TOP"/>
    <m/>
    <n v="13"/>
    <x v="1"/>
    <x v="2"/>
    <n v="16.96"/>
    <n v="229.96064000000001"/>
    <m/>
  </r>
  <r>
    <n v="119"/>
    <s v="#9 @10&quot; TOP"/>
    <m/>
    <n v="13"/>
    <x v="5"/>
    <x v="2"/>
    <n v="22.8"/>
    <n v="1007.76"/>
    <m/>
  </r>
  <r>
    <n v="120"/>
    <s v="#5 @12&quot; TOP"/>
    <m/>
    <n v="11"/>
    <x v="1"/>
    <x v="2"/>
    <n v="22.8"/>
    <n v="261.58440000000002"/>
    <m/>
  </r>
  <r>
    <n v="121"/>
    <s v="#6 @12&quot; TOP"/>
    <m/>
    <n v="10"/>
    <x v="2"/>
    <x v="1"/>
    <n v="12.322999999999999"/>
    <n v="185.09145999999998"/>
    <m/>
  </r>
  <r>
    <n v="122"/>
    <s v="#6 @12&quot; TOP"/>
    <m/>
    <n v="10"/>
    <x v="2"/>
    <x v="1"/>
    <n v="35.92"/>
    <n v="539.51840000000004"/>
    <m/>
  </r>
  <r>
    <n v="123"/>
    <s v="MIDDLE STRIP"/>
    <m/>
    <m/>
    <x v="0"/>
    <x v="0"/>
    <m/>
    <n v="0"/>
    <m/>
  </r>
  <r>
    <n v="124"/>
    <s v="#6 @12&quot; TOP"/>
    <m/>
    <n v="10"/>
    <x v="2"/>
    <x v="1"/>
    <n v="5.7324999999999999"/>
    <n v="86.102149999999995"/>
    <m/>
  </r>
  <r>
    <n v="125"/>
    <s v="#8 @12&quot; TOP"/>
    <m/>
    <n v="10"/>
    <x v="4"/>
    <x v="2"/>
    <n v="15.34"/>
    <n v="409.57799999999997"/>
    <m/>
  </r>
  <r>
    <n v="126"/>
    <s v="#6 @12&quot; TOP"/>
    <m/>
    <n v="10"/>
    <x v="2"/>
    <x v="2"/>
    <n v="15.34"/>
    <n v="230.40679999999998"/>
    <m/>
  </r>
  <r>
    <n v="127"/>
    <s v="#5 @12&quot; TOP"/>
    <m/>
    <n v="10"/>
    <x v="1"/>
    <x v="2"/>
    <n v="12.46"/>
    <n v="129.95779999999999"/>
    <m/>
  </r>
  <r>
    <n v="128"/>
    <s v="#6 @10&quot; TOP"/>
    <m/>
    <n v="12"/>
    <x v="2"/>
    <x v="2"/>
    <n v="15.62"/>
    <n v="281.53487999999999"/>
    <m/>
  </r>
  <r>
    <n v="129"/>
    <s v="#5 @12&quot; TOP"/>
    <m/>
    <n v="10"/>
    <x v="1"/>
    <x v="1"/>
    <n v="8.5625"/>
    <n v="89.306874999999991"/>
    <m/>
  </r>
  <r>
    <n v="130"/>
    <s v="COLUMN STRIP"/>
    <m/>
    <m/>
    <x v="0"/>
    <x v="0"/>
    <m/>
    <n v="0"/>
    <m/>
  </r>
  <r>
    <n v="131"/>
    <s v="#6 @12&quot; TOP"/>
    <m/>
    <n v="12"/>
    <x v="2"/>
    <x v="1"/>
    <n v="7.5419999999999998"/>
    <n v="135.93700799999999"/>
    <m/>
  </r>
  <r>
    <n v="132"/>
    <s v="#9 @6&quot; TOP"/>
    <m/>
    <n v="24"/>
    <x v="5"/>
    <x v="2"/>
    <n v="22.04"/>
    <n v="1798.4639999999999"/>
    <m/>
  </r>
  <r>
    <n v="133"/>
    <s v="#5 @12&quot; TOP"/>
    <m/>
    <n v="12"/>
    <x v="1"/>
    <x v="2"/>
    <n v="31.17"/>
    <n v="390.12371999999993"/>
    <m/>
  </r>
  <r>
    <n v="134"/>
    <s v="#8 @10&quot; TOP"/>
    <m/>
    <n v="15"/>
    <x v="4"/>
    <x v="2"/>
    <n v="22.04"/>
    <n v="882.70199999999988"/>
    <m/>
  </r>
  <r>
    <n v="135"/>
    <s v="#6 @12&quot; TOP"/>
    <m/>
    <n v="12"/>
    <x v="2"/>
    <x v="2"/>
    <n v="18.16"/>
    <n v="327.31584000000004"/>
    <m/>
  </r>
  <r>
    <n v="136"/>
    <s v="#8 @10&quot; TOP"/>
    <m/>
    <n v="15"/>
    <x v="4"/>
    <x v="2"/>
    <n v="21.86"/>
    <n v="875.49299999999994"/>
    <m/>
  </r>
  <r>
    <n v="137"/>
    <s v="#5 @12&quot; TOP"/>
    <m/>
    <n v="12"/>
    <x v="1"/>
    <x v="2"/>
    <n v="30"/>
    <n v="375.48"/>
    <m/>
  </r>
  <r>
    <n v="138"/>
    <s v="#7 @12&quot; TOP"/>
    <m/>
    <n v="12"/>
    <x v="3"/>
    <x v="2"/>
    <n v="21.52"/>
    <n v="527.84256000000005"/>
    <m/>
  </r>
  <r>
    <n v="139"/>
    <s v="#6 @12&quot; TOP"/>
    <m/>
    <n v="12"/>
    <x v="2"/>
    <x v="2"/>
    <n v="37.75"/>
    <n v="680.40599999999995"/>
    <m/>
  </r>
  <r>
    <n v="140"/>
    <s v="#5 @12&quot; TOP"/>
    <m/>
    <n v="12"/>
    <x v="1"/>
    <x v="1"/>
    <n v="6.4969999999999999"/>
    <n v="81.316451999999998"/>
    <m/>
  </r>
  <r>
    <n v="141"/>
    <s v="MIDDLE STRIP"/>
    <m/>
    <m/>
    <x v="0"/>
    <x v="0"/>
    <m/>
    <n v="0"/>
    <m/>
  </r>
  <r>
    <n v="142"/>
    <s v="#5 @12&quot; TOP"/>
    <m/>
    <n v="12"/>
    <x v="1"/>
    <x v="1"/>
    <n v="5.25"/>
    <n v="65.709000000000003"/>
    <m/>
  </r>
  <r>
    <n v="143"/>
    <s v="#9 @12&quot; TOP"/>
    <m/>
    <n v="12"/>
    <x v="5"/>
    <x v="2"/>
    <n v="15.78"/>
    <n v="643.82399999999996"/>
    <m/>
  </r>
  <r>
    <n v="144"/>
    <s v="#5 @12&quot; TOP"/>
    <m/>
    <n v="12"/>
    <x v="1"/>
    <x v="2"/>
    <n v="17.329999999999998"/>
    <n v="216.90227999999996"/>
    <m/>
  </r>
  <r>
    <n v="145"/>
    <s v="#5 @12&quot; TOP"/>
    <m/>
    <n v="13"/>
    <x v="1"/>
    <x v="1"/>
    <n v="5.25"/>
    <n v="71.184749999999994"/>
    <m/>
  </r>
  <r>
    <n v="146"/>
    <s v="#9 @12&quot; TOP"/>
    <m/>
    <n v="13"/>
    <x v="5"/>
    <x v="2"/>
    <n v="15.78"/>
    <n v="697.47599999999989"/>
    <m/>
  </r>
  <r>
    <n v="147"/>
    <s v="#5 @12&quot; TOP"/>
    <m/>
    <n v="13"/>
    <x v="1"/>
    <x v="2"/>
    <n v="17.329999999999998"/>
    <n v="234.97746999999995"/>
    <m/>
  </r>
  <r>
    <n v="148"/>
    <s v="MIDDLE STRIP"/>
    <m/>
    <m/>
    <x v="0"/>
    <x v="0"/>
    <m/>
    <n v="0"/>
    <m/>
  </r>
  <r>
    <n v="149"/>
    <s v="#5 @12&quot; TOP"/>
    <m/>
    <n v="15"/>
    <x v="1"/>
    <x v="2"/>
    <n v="15.25"/>
    <n v="238.58624999999998"/>
    <m/>
  </r>
  <r>
    <n v="150"/>
    <s v="#6 @12&quot; TOP"/>
    <m/>
    <n v="15"/>
    <x v="2"/>
    <x v="2"/>
    <n v="32.33"/>
    <n v="728.39490000000001"/>
    <m/>
  </r>
  <r>
    <n v="151"/>
    <s v="#5 @12&quot; TOP"/>
    <m/>
    <n v="15"/>
    <x v="1"/>
    <x v="1"/>
    <n v="5"/>
    <n v="78.224999999999994"/>
    <m/>
  </r>
  <r>
    <n v="152"/>
    <s v="MIDDLE STRIP"/>
    <m/>
    <m/>
    <x v="0"/>
    <x v="0"/>
    <m/>
    <n v="0"/>
    <m/>
  </r>
  <r>
    <n v="153"/>
    <s v="#5 @12&quot; TOP"/>
    <m/>
    <n v="7"/>
    <x v="1"/>
    <x v="2"/>
    <n v="15.25"/>
    <n v="111.34025"/>
    <m/>
  </r>
  <r>
    <n v="154"/>
    <s v="#8 @12&quot; TOP"/>
    <m/>
    <n v="7"/>
    <x v="4"/>
    <x v="2"/>
    <n v="38.25"/>
    <n v="714.89249999999993"/>
    <m/>
  </r>
  <r>
    <n v="155"/>
    <s v="#5 @12&quot; TOP"/>
    <m/>
    <n v="7"/>
    <x v="1"/>
    <x v="1"/>
    <n v="5"/>
    <n v="36.504999999999995"/>
    <m/>
  </r>
  <r>
    <n v="156"/>
    <s v="12&quot;THK CONC.DECK SLAB (N-S DIRECTION)"/>
    <m/>
    <m/>
    <x v="0"/>
    <x v="0"/>
    <m/>
    <n v="0"/>
    <m/>
  </r>
  <r>
    <n v="157"/>
    <s v="EDGE STRIP (GRID 7.1+ -A-F)"/>
    <m/>
    <m/>
    <x v="0"/>
    <x v="0"/>
    <m/>
    <n v="0"/>
    <m/>
  </r>
  <r>
    <n v="158"/>
    <s v="#5 @12&quot; BOT"/>
    <m/>
    <n v="7"/>
    <x v="1"/>
    <x v="2"/>
    <n v="6.08"/>
    <n v="44.390079999999998"/>
    <m/>
  </r>
  <r>
    <n v="159"/>
    <s v="#9 @12&quot; BOT"/>
    <m/>
    <n v="7"/>
    <x v="5"/>
    <x v="2"/>
    <n v="31.25"/>
    <n v="743.75"/>
    <m/>
  </r>
  <r>
    <n v="160"/>
    <s v="#6 @12&quot; BOT"/>
    <m/>
    <n v="7"/>
    <x v="2"/>
    <x v="2"/>
    <n v="17.75"/>
    <n v="186.62349999999998"/>
    <m/>
  </r>
  <r>
    <n v="161"/>
    <s v="#8 @12&quot; BOT"/>
    <m/>
    <n v="7"/>
    <x v="4"/>
    <x v="2"/>
    <n v="24"/>
    <n v="448.56"/>
    <m/>
  </r>
  <r>
    <n v="162"/>
    <s v="#9 @12&quot; BOT"/>
    <m/>
    <n v="7"/>
    <x v="5"/>
    <x v="2"/>
    <n v="24.92"/>
    <n v="593.096"/>
    <m/>
  </r>
  <r>
    <n v="163"/>
    <s v="MIDDLE STRIP (GRID 7.1 -A-F)"/>
    <m/>
    <m/>
    <x v="0"/>
    <x v="0"/>
    <m/>
    <n v="0"/>
    <m/>
  </r>
  <r>
    <n v="164"/>
    <s v="#5 @12&quot; BOT"/>
    <m/>
    <n v="10"/>
    <x v="1"/>
    <x v="2"/>
    <n v="5.83"/>
    <n v="60.806899999999999"/>
    <m/>
  </r>
  <r>
    <n v="165"/>
    <s v="#7 @12&quot; BOT"/>
    <m/>
    <n v="10"/>
    <x v="3"/>
    <x v="2"/>
    <n v="30.25"/>
    <n v="618.31000000000006"/>
    <m/>
  </r>
  <r>
    <n v="166"/>
    <s v="#5 @12&quot; BOT"/>
    <m/>
    <n v="10"/>
    <x v="1"/>
    <x v="2"/>
    <n v="9"/>
    <n v="93.86999999999999"/>
    <m/>
  </r>
  <r>
    <n v="167"/>
    <s v="COLUMN STRIP (GRID 7/A-F)"/>
    <m/>
    <m/>
    <x v="0"/>
    <x v="0"/>
    <m/>
    <n v="0"/>
    <m/>
  </r>
  <r>
    <n v="168"/>
    <s v="#5 @12&quot; BOT"/>
    <m/>
    <n v="8"/>
    <x v="1"/>
    <x v="2"/>
    <n v="6.25"/>
    <n v="52.15"/>
    <m/>
  </r>
  <r>
    <n v="169"/>
    <s v="#8 @12&quot; BOT"/>
    <m/>
    <n v="8"/>
    <x v="4"/>
    <x v="2"/>
    <n v="32"/>
    <n v="683.52"/>
    <m/>
  </r>
  <r>
    <n v="170"/>
    <s v="#5 @12&quot; BOT"/>
    <m/>
    <n v="5"/>
    <x v="1"/>
    <x v="2"/>
    <n v="18.670000000000002"/>
    <n v="97.364049999999992"/>
    <m/>
  </r>
  <r>
    <n v="171"/>
    <s v="#7 @12&quot; BOT"/>
    <m/>
    <n v="5"/>
    <x v="3"/>
    <x v="2"/>
    <n v="31.58"/>
    <n v="322.74760000000003"/>
    <m/>
  </r>
  <r>
    <n v="172"/>
    <s v="#5 @12&quot; BOT"/>
    <m/>
    <n v="5"/>
    <x v="1"/>
    <x v="2"/>
    <n v="17.75"/>
    <n v="92.566249999999997"/>
    <m/>
  </r>
  <r>
    <n v="173"/>
    <s v="#6 @12&quot; BOT"/>
    <m/>
    <n v="5"/>
    <x v="2"/>
    <x v="2"/>
    <n v="24"/>
    <n v="180.24"/>
    <m/>
  </r>
  <r>
    <n v="174"/>
    <s v="#5 @10&quot; BOT"/>
    <m/>
    <n v="6"/>
    <x v="1"/>
    <x v="2"/>
    <n v="24.58"/>
    <n v="153.82163999999997"/>
    <m/>
  </r>
  <r>
    <n v="175"/>
    <s v="MIDDLE STRIP (GRID 6+/A-F)"/>
    <m/>
    <m/>
    <x v="0"/>
    <x v="0"/>
    <m/>
    <n v="0"/>
    <m/>
  </r>
  <r>
    <n v="176"/>
    <s v="#5 @12&quot; BOT"/>
    <m/>
    <n v="15"/>
    <x v="1"/>
    <x v="2"/>
    <n v="17.829999999999998"/>
    <n v="278.95034999999996"/>
    <m/>
  </r>
  <r>
    <n v="177"/>
    <s v="#6 @12&quot; BOT"/>
    <m/>
    <n v="15"/>
    <x v="2"/>
    <x v="2"/>
    <n v="30.25"/>
    <n v="681.53249999999991"/>
    <m/>
  </r>
  <r>
    <n v="178"/>
    <s v="#5 @12&quot; BOT"/>
    <m/>
    <n v="15"/>
    <x v="1"/>
    <x v="2"/>
    <n v="18.329999999999998"/>
    <n v="286.77284999999995"/>
    <m/>
  </r>
  <r>
    <n v="179"/>
    <s v="#6 @12&quot; BOT"/>
    <m/>
    <n v="15"/>
    <x v="2"/>
    <x v="2"/>
    <n v="20.58"/>
    <n v="463.66739999999999"/>
    <m/>
  </r>
  <r>
    <n v="180"/>
    <s v="#6 @12&quot; BOT"/>
    <m/>
    <n v="16"/>
    <x v="2"/>
    <x v="2"/>
    <n v="23.58"/>
    <n v="566.67455999999993"/>
    <m/>
  </r>
  <r>
    <n v="181"/>
    <s v="COLUMN STRIP (GRID 6.2-6.3/A-F)"/>
    <m/>
    <m/>
    <x v="0"/>
    <x v="0"/>
    <m/>
    <n v="0"/>
    <m/>
  </r>
  <r>
    <n v="182"/>
    <s v="#6 @12&quot; BOT (CS1)"/>
    <m/>
    <n v="8"/>
    <x v="2"/>
    <x v="2"/>
    <n v="18.670000000000002"/>
    <n v="224.33872000000002"/>
    <m/>
  </r>
  <r>
    <n v="183"/>
    <s v="#7 @12&quot; BOT"/>
    <m/>
    <n v="8"/>
    <x v="3"/>
    <x v="2"/>
    <n v="31.659999999999997"/>
    <n v="517.70431999999994"/>
    <m/>
  </r>
  <r>
    <n v="184"/>
    <s v="#5 @10&quot; BOT"/>
    <m/>
    <n v="9"/>
    <x v="1"/>
    <x v="2"/>
    <n v="19.670000000000002"/>
    <n v="184.64229"/>
    <m/>
  </r>
  <r>
    <n v="185"/>
    <s v="#6 @12&quot; BOT"/>
    <m/>
    <n v="8"/>
    <x v="2"/>
    <x v="2"/>
    <n v="21.58"/>
    <n v="259.30527999999998"/>
    <m/>
  </r>
  <r>
    <n v="186"/>
    <s v="#7 @12&quot; BOT"/>
    <m/>
    <n v="8"/>
    <x v="3"/>
    <x v="2"/>
    <n v="24.340000000000003"/>
    <n v="398.00768000000005"/>
    <m/>
  </r>
  <r>
    <n v="187"/>
    <s v="#6 @12&quot; BOT (CS2)"/>
    <m/>
    <n v="7"/>
    <x v="2"/>
    <x v="2"/>
    <n v="18.75"/>
    <n v="197.13750000000002"/>
    <m/>
  </r>
  <r>
    <n v="188"/>
    <s v="#7 @10&quot; BOT"/>
    <m/>
    <n v="9"/>
    <x v="3"/>
    <x v="2"/>
    <n v="31.75"/>
    <n v="584.07300000000009"/>
    <m/>
  </r>
  <r>
    <n v="189"/>
    <s v="#6 @12&quot; BOT"/>
    <m/>
    <n v="7"/>
    <x v="2"/>
    <x v="2"/>
    <n v="18.75"/>
    <n v="197.13750000000002"/>
    <m/>
  </r>
  <r>
    <n v="190"/>
    <s v="MIDDLE STRIP (GRID 4.9+-6.2-/A-F) MS2"/>
    <m/>
    <m/>
    <x v="0"/>
    <x v="0"/>
    <m/>
    <n v="0"/>
    <m/>
  </r>
  <r>
    <n v="191"/>
    <s v="#5 @12&quot; BOT"/>
    <m/>
    <n v="14"/>
    <x v="1"/>
    <x v="2"/>
    <n v="18.329999999999998"/>
    <n v="267.65465999999998"/>
    <m/>
  </r>
  <r>
    <n v="192"/>
    <s v="#6 @12&quot; BOT"/>
    <m/>
    <n v="14"/>
    <x v="2"/>
    <x v="2"/>
    <n v="30.33"/>
    <n v="637.77923999999996"/>
    <m/>
  </r>
  <r>
    <n v="193"/>
    <s v="#5 @12&quot; BOT"/>
    <m/>
    <n v="14"/>
    <x v="1"/>
    <x v="2"/>
    <n v="18.170000000000002"/>
    <n v="265.31833999999998"/>
    <m/>
  </r>
  <r>
    <n v="194"/>
    <s v="#6 @12&quot; BOT"/>
    <m/>
    <n v="14"/>
    <x v="2"/>
    <x v="2"/>
    <n v="19.75"/>
    <n v="415.303"/>
    <m/>
  </r>
  <r>
    <n v="195"/>
    <s v="COLUMN STRIP (GRID 4.9/A-F)"/>
    <m/>
    <m/>
    <x v="0"/>
    <x v="0"/>
    <m/>
    <n v="0"/>
    <m/>
  </r>
  <r>
    <n v="196"/>
    <s v="#6 @12&quot; BOT (CS2)"/>
    <m/>
    <n v="14"/>
    <x v="2"/>
    <x v="2"/>
    <n v="18.75"/>
    <n v="394.27500000000003"/>
    <m/>
  </r>
  <r>
    <n v="197"/>
    <s v="#7 @10&quot; BOT"/>
    <m/>
    <n v="17"/>
    <x v="3"/>
    <x v="2"/>
    <n v="31.75"/>
    <n v="1103.249"/>
    <m/>
  </r>
  <r>
    <n v="198"/>
    <s v="#6 @12&quot; BOT"/>
    <m/>
    <n v="14"/>
    <x v="2"/>
    <x v="2"/>
    <n v="18.75"/>
    <n v="394.27500000000003"/>
    <m/>
  </r>
  <r>
    <n v="199"/>
    <s v="MIDDLE STRIP (GRID 3.9+-4.8-/A-F) MS2"/>
    <m/>
    <m/>
    <x v="0"/>
    <x v="0"/>
    <m/>
    <n v="0"/>
    <m/>
  </r>
  <r>
    <n v="200"/>
    <s v="#5 @12&quot; BOT"/>
    <m/>
    <n v="14"/>
    <x v="1"/>
    <x v="2"/>
    <n v="18.329999999999998"/>
    <n v="267.65465999999998"/>
    <m/>
  </r>
  <r>
    <n v="201"/>
    <s v="#6 @12&quot; BOT"/>
    <m/>
    <n v="12"/>
    <x v="2"/>
    <x v="2"/>
    <n v="30.33"/>
    <n v="546.66791999999998"/>
    <m/>
  </r>
  <r>
    <n v="202"/>
    <s v="#5 @12&quot; BOT"/>
    <m/>
    <n v="10"/>
    <x v="1"/>
    <x v="2"/>
    <n v="18.170000000000002"/>
    <n v="189.51310000000001"/>
    <m/>
  </r>
  <r>
    <n v="203"/>
    <s v="#6 @12&quot; BOT"/>
    <m/>
    <n v="10"/>
    <x v="2"/>
    <x v="2"/>
    <n v="19.75"/>
    <n v="296.64499999999998"/>
    <m/>
  </r>
  <r>
    <n v="204"/>
    <s v="COLUMN STRIP (GRID 3.9/A-F)"/>
    <m/>
    <m/>
    <x v="0"/>
    <x v="0"/>
    <m/>
    <n v="0"/>
    <m/>
  </r>
  <r>
    <n v="205"/>
    <s v="#6 @12&quot; BOT (CS1)"/>
    <m/>
    <n v="8"/>
    <x v="2"/>
    <x v="2"/>
    <n v="18.670000000000002"/>
    <n v="224.33872000000002"/>
    <m/>
  </r>
  <r>
    <n v="206"/>
    <s v="#7 @12&quot; BOT"/>
    <m/>
    <n v="8"/>
    <x v="3"/>
    <x v="2"/>
    <n v="31.659999999999997"/>
    <n v="517.70431999999994"/>
    <m/>
  </r>
  <r>
    <n v="207"/>
    <s v="#5 @10&quot; BOT"/>
    <m/>
    <n v="9"/>
    <x v="1"/>
    <x v="2"/>
    <n v="19.670000000000002"/>
    <n v="184.64229"/>
    <m/>
  </r>
  <r>
    <n v="208"/>
    <s v="#6 @12&quot; BOT"/>
    <m/>
    <n v="8"/>
    <x v="2"/>
    <x v="2"/>
    <n v="21.58"/>
    <n v="259.30527999999998"/>
    <m/>
  </r>
  <r>
    <n v="209"/>
    <s v="#7 @12&quot; BOT"/>
    <m/>
    <n v="8"/>
    <x v="3"/>
    <x v="2"/>
    <n v="24.340000000000003"/>
    <n v="398.00768000000005"/>
    <m/>
  </r>
  <r>
    <n v="210"/>
    <s v="#6 @12&quot; BOT (CS2)"/>
    <m/>
    <n v="7"/>
    <x v="2"/>
    <x v="2"/>
    <n v="18.75"/>
    <n v="197.13750000000002"/>
    <m/>
  </r>
  <r>
    <n v="211"/>
    <s v="#7 @10&quot; BOT"/>
    <m/>
    <n v="9"/>
    <x v="3"/>
    <x v="2"/>
    <n v="31.75"/>
    <n v="584.07300000000009"/>
    <m/>
  </r>
  <r>
    <n v="212"/>
    <s v="#6 @12&quot; BOT"/>
    <m/>
    <n v="7"/>
    <x v="2"/>
    <x v="2"/>
    <n v="18.75"/>
    <n v="197.13750000000002"/>
    <m/>
  </r>
  <r>
    <n v="213"/>
    <s v="MIDDLE STRIP (GRID 3+/A-F)"/>
    <m/>
    <m/>
    <x v="0"/>
    <x v="0"/>
    <m/>
    <n v="0"/>
    <m/>
  </r>
  <r>
    <n v="214"/>
    <s v="#5 @12&quot; BOT"/>
    <m/>
    <n v="15"/>
    <x v="1"/>
    <x v="2"/>
    <n v="17.829999999999998"/>
    <n v="278.95034999999996"/>
    <m/>
  </r>
  <r>
    <n v="215"/>
    <s v="#6 @12&quot; BOT"/>
    <m/>
    <n v="15"/>
    <x v="2"/>
    <x v="2"/>
    <n v="30.25"/>
    <n v="681.53249999999991"/>
    <m/>
  </r>
  <r>
    <n v="216"/>
    <s v="#5 @12&quot; BOT"/>
    <m/>
    <n v="15"/>
    <x v="1"/>
    <x v="2"/>
    <n v="18.329999999999998"/>
    <n v="286.77284999999995"/>
    <m/>
  </r>
  <r>
    <n v="217"/>
    <s v="#6 @12&quot; BOT"/>
    <m/>
    <n v="15"/>
    <x v="2"/>
    <x v="2"/>
    <n v="20.58"/>
    <n v="463.66739999999999"/>
    <m/>
  </r>
  <r>
    <n v="218"/>
    <s v="#6 @12&quot; BOT"/>
    <m/>
    <n v="16"/>
    <x v="2"/>
    <x v="2"/>
    <n v="23.58"/>
    <n v="566.67455999999993"/>
    <m/>
  </r>
  <r>
    <n v="219"/>
    <s v="COLUMN STRIP (GRID 3/A-F)"/>
    <m/>
    <m/>
    <x v="0"/>
    <x v="0"/>
    <m/>
    <n v="0"/>
    <m/>
  </r>
  <r>
    <n v="220"/>
    <s v="#5 @12&quot; BOT"/>
    <m/>
    <n v="13"/>
    <x v="1"/>
    <x v="2"/>
    <n v="18.75"/>
    <n v="254.23124999999999"/>
    <m/>
  </r>
  <r>
    <n v="221"/>
    <s v="#6 @12&quot; BOT"/>
    <m/>
    <n v="13"/>
    <x v="2"/>
    <x v="2"/>
    <n v="28"/>
    <n v="546.72799999999995"/>
    <m/>
  </r>
  <r>
    <n v="222"/>
    <s v="#5 @12&quot; BOT"/>
    <m/>
    <n v="13"/>
    <x v="1"/>
    <x v="2"/>
    <n v="22.75"/>
    <n v="308.46724999999998"/>
    <m/>
  </r>
  <r>
    <n v="223"/>
    <s v="#5 @10&quot; BOT"/>
    <m/>
    <n v="25"/>
    <x v="1"/>
    <x v="2"/>
    <n v="17.25"/>
    <n v="449.79374999999999"/>
    <m/>
  </r>
  <r>
    <n v="224"/>
    <s v="#7 @10&quot; BOT"/>
    <m/>
    <n v="25"/>
    <x v="3"/>
    <x v="2"/>
    <n v="28.42"/>
    <n v="1452.2620000000002"/>
    <m/>
  </r>
  <r>
    <n v="225"/>
    <s v="MIDDLE STRIP (GRID 2.5+/A-F)"/>
    <m/>
    <m/>
    <x v="0"/>
    <x v="0"/>
    <m/>
    <n v="0"/>
    <m/>
  </r>
  <r>
    <n v="226"/>
    <s v="#5 @12&quot; BOT"/>
    <m/>
    <n v="10"/>
    <x v="1"/>
    <x v="2"/>
    <n v="10.42"/>
    <n v="108.6806"/>
    <m/>
  </r>
  <r>
    <n v="227"/>
    <s v="#6 @12&quot; BOT"/>
    <m/>
    <n v="10"/>
    <x v="2"/>
    <x v="2"/>
    <n v="20.67"/>
    <n v="310.46340000000004"/>
    <m/>
  </r>
  <r>
    <n v="228"/>
    <s v="#8 @10&quot; BOT"/>
    <m/>
    <n v="12"/>
    <x v="4"/>
    <x v="2"/>
    <n v="34"/>
    <n v="1089.3600000000001"/>
    <m/>
  </r>
  <r>
    <n v="229"/>
    <s v="4-#8 BOT"/>
    <m/>
    <n v="4"/>
    <x v="4"/>
    <x v="2"/>
    <n v="10.42"/>
    <n v="111.2856"/>
    <m/>
  </r>
  <r>
    <n v="230"/>
    <s v="COLUMN STRIP (GRID 2/A-F)"/>
    <m/>
    <m/>
    <x v="0"/>
    <x v="0"/>
    <m/>
    <n v="0"/>
    <m/>
  </r>
  <r>
    <n v="231"/>
    <s v="#5 @12&quot; BOT"/>
    <m/>
    <n v="10"/>
    <x v="1"/>
    <x v="2"/>
    <n v="31.5"/>
    <n v="328.54499999999996"/>
    <m/>
  </r>
  <r>
    <n v="232"/>
    <s v="MIDDLE STRIP (GRID 1.2+/A-F)"/>
    <m/>
    <m/>
    <x v="0"/>
    <x v="0"/>
    <m/>
    <n v="0"/>
    <m/>
  </r>
  <r>
    <n v="233"/>
    <s v="#5 @12&quot; BOT"/>
    <m/>
    <n v="9"/>
    <x v="1"/>
    <x v="2"/>
    <n v="14.83"/>
    <n v="139.20920999999998"/>
    <m/>
  </r>
  <r>
    <n v="234"/>
    <s v="#8 @10&quot; BOT"/>
    <m/>
    <n v="11"/>
    <x v="4"/>
    <x v="2"/>
    <n v="32.58"/>
    <n v="956.87459999999987"/>
    <m/>
  </r>
  <r>
    <n v="235"/>
    <s v="#6 @12&quot; BOT"/>
    <m/>
    <n v="9"/>
    <x v="2"/>
    <x v="2"/>
    <n v="22.33"/>
    <n v="301.85694000000001"/>
    <m/>
  </r>
  <r>
    <n v="236"/>
    <s v="#6 @12&quot; BOT"/>
    <m/>
    <n v="9"/>
    <x v="2"/>
    <x v="2"/>
    <n v="10.17"/>
    <n v="137.47806"/>
    <m/>
  </r>
  <r>
    <n v="237"/>
    <s v="#8 @10&quot; BOT"/>
    <m/>
    <n v="10"/>
    <x v="4"/>
    <x v="2"/>
    <n v="28"/>
    <n v="747.59999999999991"/>
    <m/>
  </r>
  <r>
    <n v="238"/>
    <s v="EDGE STRIP (GRID 1/A-F)"/>
    <m/>
    <m/>
    <x v="0"/>
    <x v="0"/>
    <m/>
    <n v="0"/>
    <m/>
  </r>
  <r>
    <n v="239"/>
    <s v="#5 @12&quot; BOT "/>
    <m/>
    <n v="7"/>
    <x v="1"/>
    <x v="1"/>
    <n v="10"/>
    <n v="73.009999999999991"/>
    <m/>
  </r>
  <r>
    <n v="240"/>
    <s v="EDGE STRIP (GRID 7.1+ -A-F)"/>
    <m/>
    <m/>
    <x v="0"/>
    <x v="0"/>
    <m/>
    <n v="0"/>
    <m/>
  </r>
  <r>
    <n v="241"/>
    <s v="#8 @12&quot; TOP"/>
    <m/>
    <n v="7"/>
    <x v="4"/>
    <x v="1"/>
    <n v="16.657499999999999"/>
    <n v="311.32867499999998"/>
    <m/>
  </r>
  <r>
    <n v="242"/>
    <s v="#7 @12&quot; TOP"/>
    <m/>
    <n v="7"/>
    <x v="3"/>
    <x v="2"/>
    <n v="20.474999999999998"/>
    <n v="292.95629999999994"/>
    <m/>
  </r>
  <r>
    <n v="243"/>
    <s v="#9 @10&quot; TOP"/>
    <m/>
    <n v="8"/>
    <x v="5"/>
    <x v="2"/>
    <n v="14"/>
    <n v="380.8"/>
    <m/>
  </r>
  <r>
    <n v="244"/>
    <s v="#6 @12&quot; TOP"/>
    <m/>
    <n v="7"/>
    <x v="2"/>
    <x v="1"/>
    <n v="9.0295000000000005"/>
    <n v="94.936163000000008"/>
    <m/>
  </r>
  <r>
    <n v="245"/>
    <s v="MIDDLE STRIP (GRID 7.1 -A-F)"/>
    <m/>
    <m/>
    <x v="0"/>
    <x v="0"/>
    <m/>
    <n v="0"/>
    <m/>
  </r>
  <r>
    <n v="246"/>
    <s v="#7 @12&quot; TOP"/>
    <m/>
    <n v="10"/>
    <x v="3"/>
    <x v="1"/>
    <n v="13.5725"/>
    <n v="277.42189999999999"/>
    <m/>
  </r>
  <r>
    <n v="247"/>
    <s v="#6 @12&quot; TOP"/>
    <m/>
    <n v="10"/>
    <x v="2"/>
    <x v="1"/>
    <n v="16.732500000000002"/>
    <n v="251.32215000000002"/>
    <m/>
  </r>
  <r>
    <n v="248"/>
    <s v="COLUMN STRIP (GRID 7/A-F)"/>
    <m/>
    <m/>
    <x v="0"/>
    <x v="0"/>
    <m/>
    <n v="0"/>
    <m/>
  </r>
  <r>
    <n v="249"/>
    <s v="#8 @10&quot; TOP"/>
    <m/>
    <n v="9"/>
    <x v="4"/>
    <x v="1"/>
    <n v="16.497499999999999"/>
    <n v="396.43492499999996"/>
    <m/>
  </r>
  <r>
    <n v="250"/>
    <s v="#6 @12&quot; TOP"/>
    <m/>
    <n v="8"/>
    <x v="2"/>
    <x v="1"/>
    <n v="19.657499999999999"/>
    <n v="236.20451999999997"/>
    <m/>
  </r>
  <r>
    <n v="251"/>
    <s v="#5 @12&quot; TOP"/>
    <m/>
    <n v="5"/>
    <x v="1"/>
    <x v="1"/>
    <n v="6.9344999999999999"/>
    <n v="36.163417499999994"/>
    <m/>
  </r>
  <r>
    <n v="252"/>
    <s v="#9 @12&quot; TOP"/>
    <m/>
    <n v="5"/>
    <x v="5"/>
    <x v="2"/>
    <n v="20.474999999999998"/>
    <n v="348.07499999999999"/>
    <m/>
  </r>
  <r>
    <n v="253"/>
    <s v="#9 @12&quot; TOP"/>
    <m/>
    <n v="5"/>
    <x v="5"/>
    <x v="2"/>
    <n v="20.474999999999998"/>
    <n v="348.07499999999999"/>
    <m/>
  </r>
  <r>
    <n v="254"/>
    <s v="#8 @10&quot; TOP"/>
    <m/>
    <n v="6"/>
    <x v="4"/>
    <x v="2"/>
    <n v="16.219000000000001"/>
    <n v="259.82837999999998"/>
    <m/>
  </r>
  <r>
    <n v="255"/>
    <s v="#5 @12&quot; TOP"/>
    <m/>
    <n v="5"/>
    <x v="1"/>
    <x v="1"/>
    <n v="8.8595000000000006"/>
    <n v="46.202292500000006"/>
    <m/>
  </r>
  <r>
    <n v="256"/>
    <s v="MIDDLE STRIP (GRID 6.3+ -A-F) (MS1)"/>
    <m/>
    <m/>
    <x v="0"/>
    <x v="0"/>
    <m/>
    <n v="0"/>
    <m/>
  </r>
  <r>
    <n v="257"/>
    <s v="#5 @12&quot; TOP"/>
    <m/>
    <n v="15"/>
    <x v="1"/>
    <x v="1"/>
    <n v="5.2074999999999996"/>
    <n v="81.47133749999999"/>
    <m/>
  </r>
  <r>
    <n v="258"/>
    <s v="#6 @12&quot; TOP"/>
    <m/>
    <n v="15"/>
    <x v="2"/>
    <x v="2"/>
    <n v="14.625"/>
    <n v="329.50125000000003"/>
    <m/>
  </r>
  <r>
    <n v="259"/>
    <s v="#6 @12&quot; TOP"/>
    <m/>
    <n v="15"/>
    <x v="2"/>
    <x v="2"/>
    <n v="14.625"/>
    <n v="329.50125000000003"/>
    <m/>
  </r>
  <r>
    <n v="260"/>
    <s v="#6 @12&quot; TOP"/>
    <m/>
    <n v="15"/>
    <x v="2"/>
    <x v="2"/>
    <n v="9.8350000000000009"/>
    <n v="221.58255000000003"/>
    <m/>
  </r>
  <r>
    <n v="261"/>
    <s v="#6 @12&quot; TOP"/>
    <m/>
    <n v="16"/>
    <x v="2"/>
    <x v="2"/>
    <n v="9.8350000000000009"/>
    <n v="236.35472000000001"/>
    <m/>
  </r>
  <r>
    <n v="262"/>
    <s v="#5 @12&quot; TOP"/>
    <m/>
    <n v="16"/>
    <x v="1"/>
    <x v="1"/>
    <n v="6.5625"/>
    <n v="109.51499999999999"/>
    <m/>
  </r>
  <r>
    <n v="263"/>
    <s v="COLUMN STRIP (GRID 6/A-F)"/>
    <m/>
    <m/>
    <x v="0"/>
    <x v="0"/>
    <m/>
    <n v="0"/>
    <m/>
  </r>
  <r>
    <n v="264"/>
    <s v="#5 @12&quot; TOP (CS1)"/>
    <m/>
    <n v="7"/>
    <x v="1"/>
    <x v="1"/>
    <n v="6.6999999999999993"/>
    <n v="48.916699999999992"/>
    <m/>
  </r>
  <r>
    <n v="265"/>
    <s v="#9 @12&quot; TOP"/>
    <m/>
    <n v="7"/>
    <x v="5"/>
    <x v="2"/>
    <n v="20.474999999999998"/>
    <n v="487.30499999999995"/>
    <m/>
  </r>
  <r>
    <n v="266"/>
    <s v="#6 @12&quot; TOP"/>
    <m/>
    <n v="7"/>
    <x v="2"/>
    <x v="2"/>
    <n v="20.474999999999998"/>
    <n v="215.27414999999999"/>
    <m/>
  </r>
  <r>
    <n v="267"/>
    <s v="#5 @12&quot; TOP"/>
    <m/>
    <n v="7"/>
    <x v="1"/>
    <x v="2"/>
    <n v="14"/>
    <n v="102.21399999999998"/>
    <m/>
  </r>
  <r>
    <n v="268"/>
    <s v="#8 @12&quot; TOP"/>
    <m/>
    <n v="7"/>
    <x v="4"/>
    <x v="2"/>
    <n v="14"/>
    <n v="261.65999999999997"/>
    <m/>
  </r>
  <r>
    <n v="269"/>
    <s v="#5 @12&quot; TOP"/>
    <m/>
    <n v="7"/>
    <x v="1"/>
    <x v="1"/>
    <n v="8.8595000000000006"/>
    <n v="64.683209500000004"/>
    <m/>
  </r>
  <r>
    <n v="270"/>
    <s v="#5 @12&quot; TOP (CS2)"/>
    <m/>
    <n v="7"/>
    <x v="1"/>
    <x v="1"/>
    <n v="6.6999999999999993"/>
    <n v="48.916699999999992"/>
    <m/>
  </r>
  <r>
    <n v="271"/>
    <s v="#9 @12&quot; TOP"/>
    <m/>
    <n v="7"/>
    <x v="5"/>
    <x v="2"/>
    <n v="20.474999999999998"/>
    <n v="487.30499999999995"/>
    <m/>
  </r>
  <r>
    <n v="272"/>
    <s v="#7 @12&quot; TOP"/>
    <m/>
    <n v="7"/>
    <x v="3"/>
    <x v="2"/>
    <n v="13.299999999999999"/>
    <n v="190.29639999999998"/>
    <m/>
  </r>
  <r>
    <n v="273"/>
    <s v="#6 @12&quot; TOP"/>
    <m/>
    <n v="7"/>
    <x v="2"/>
    <x v="1"/>
    <n v="7.75"/>
    <n v="81.483499999999992"/>
    <m/>
  </r>
  <r>
    <n v="274"/>
    <s v="MIDDLE STRIP (GRID 4.9+/A-F) (MS2)"/>
    <m/>
    <m/>
    <x v="0"/>
    <x v="0"/>
    <m/>
    <n v="0"/>
    <m/>
  </r>
  <r>
    <n v="275"/>
    <s v="#5 @12&quot; TOP"/>
    <m/>
    <n v="14"/>
    <x v="1"/>
    <x v="1"/>
    <n v="5.2074999999999996"/>
    <n v="76.039914999999993"/>
    <m/>
  </r>
  <r>
    <n v="276"/>
    <s v="#6 @12&quot; TOP"/>
    <m/>
    <n v="14"/>
    <x v="2"/>
    <x v="2"/>
    <n v="14.625"/>
    <n v="307.53450000000004"/>
    <m/>
  </r>
  <r>
    <n v="277"/>
    <s v="#6 @12&quot; TOP"/>
    <m/>
    <n v="14"/>
    <x v="2"/>
    <x v="2"/>
    <n v="14.625"/>
    <n v="307.53450000000004"/>
    <m/>
  </r>
  <r>
    <n v="278"/>
    <s v="#5 @12&quot; TOP"/>
    <m/>
    <n v="14"/>
    <x v="1"/>
    <x v="2"/>
    <n v="14.625"/>
    <n v="213.55425"/>
    <m/>
  </r>
  <r>
    <n v="279"/>
    <s v="#5 @12&quot; TOP"/>
    <m/>
    <n v="14"/>
    <x v="1"/>
    <x v="1"/>
    <n v="5.1449999999999996"/>
    <n v="75.127289999999988"/>
    <m/>
  </r>
  <r>
    <n v="280"/>
    <s v="#5 @12&quot; TOP"/>
    <m/>
    <n v="14"/>
    <x v="1"/>
    <x v="1"/>
    <n v="6.625"/>
    <n v="96.738249999999994"/>
    <m/>
  </r>
  <r>
    <n v="281"/>
    <s v="#5 @12&quot; TOP"/>
    <m/>
    <n v="14"/>
    <x v="1"/>
    <x v="1"/>
    <n v="6.625"/>
    <n v="96.738249999999994"/>
    <m/>
  </r>
  <r>
    <n v="282"/>
    <s v="COLUMN STRIP (GRID 4.8/A-F) (CS2)"/>
    <m/>
    <m/>
    <x v="0"/>
    <x v="0"/>
    <m/>
    <n v="0"/>
    <m/>
  </r>
  <r>
    <n v="283"/>
    <s v="#5 @12&quot; TOP (CS2)"/>
    <m/>
    <n v="14"/>
    <x v="1"/>
    <x v="1"/>
    <n v="6.6999999999999993"/>
    <n v="97.833399999999983"/>
    <m/>
  </r>
  <r>
    <n v="284"/>
    <s v="#9 @12&quot; TOP"/>
    <m/>
    <n v="14"/>
    <x v="5"/>
    <x v="2"/>
    <n v="20.474999999999998"/>
    <n v="974.6099999999999"/>
    <m/>
  </r>
  <r>
    <n v="285"/>
    <s v="#7 @12&quot; TOP"/>
    <m/>
    <n v="14"/>
    <x v="3"/>
    <x v="2"/>
    <n v="13.299999999999999"/>
    <n v="380.59279999999995"/>
    <m/>
  </r>
  <r>
    <n v="286"/>
    <s v="#5 @12&quot; TOP"/>
    <m/>
    <n v="14"/>
    <x v="1"/>
    <x v="1"/>
    <n v="7.75"/>
    <n v="113.16549999999999"/>
    <m/>
  </r>
  <r>
    <n v="287"/>
    <s v="MIDDLE STRIP (GRID 3.9+/A-F) (MS2)"/>
    <m/>
    <n v="14"/>
    <x v="1"/>
    <x v="1"/>
    <n v="5.2074999999999996"/>
    <n v="76.039914999999993"/>
    <m/>
  </r>
  <r>
    <n v="288"/>
    <s v="#6 @12&quot; TOP"/>
    <m/>
    <n v="14"/>
    <x v="2"/>
    <x v="2"/>
    <n v="14.625"/>
    <n v="307.53450000000004"/>
    <m/>
  </r>
  <r>
    <n v="289"/>
    <s v="#6 @12&quot; TOP"/>
    <m/>
    <n v="14"/>
    <x v="2"/>
    <x v="2"/>
    <n v="14.625"/>
    <n v="307.53450000000004"/>
    <m/>
  </r>
  <r>
    <n v="290"/>
    <s v="#5 @12&quot; TOP"/>
    <m/>
    <n v="14"/>
    <x v="1"/>
    <x v="1"/>
    <n v="5.8125"/>
    <n v="84.874124999999992"/>
    <m/>
  </r>
  <r>
    <n v="291"/>
    <s v="#5 @12&quot; TOP"/>
    <m/>
    <n v="14"/>
    <x v="1"/>
    <x v="1"/>
    <n v="5.8125"/>
    <n v="84.874124999999992"/>
    <m/>
  </r>
  <r>
    <n v="292"/>
    <s v="COLUMN STRIP (GRID 3.9/A-F)"/>
    <m/>
    <m/>
    <x v="0"/>
    <x v="0"/>
    <m/>
    <n v="0"/>
    <m/>
  </r>
  <r>
    <n v="293"/>
    <s v="#5 @12&quot; TOP (CS1)"/>
    <m/>
    <n v="7"/>
    <x v="1"/>
    <x v="1"/>
    <n v="6.6999999999999993"/>
    <n v="48.916699999999992"/>
    <m/>
  </r>
  <r>
    <n v="294"/>
    <s v="#9 @12&quot; TOP"/>
    <m/>
    <n v="7"/>
    <x v="5"/>
    <x v="2"/>
    <n v="20.474999999999998"/>
    <n v="487.30499999999995"/>
    <m/>
  </r>
  <r>
    <n v="295"/>
    <s v="#6 @12&quot; TOP"/>
    <m/>
    <n v="7"/>
    <x v="2"/>
    <x v="2"/>
    <n v="20.474999999999998"/>
    <n v="215.27414999999999"/>
    <m/>
  </r>
  <r>
    <n v="296"/>
    <s v="#5 @12&quot; TOP"/>
    <m/>
    <n v="7"/>
    <x v="1"/>
    <x v="2"/>
    <n v="14"/>
    <n v="102.21399999999998"/>
    <m/>
  </r>
  <r>
    <n v="297"/>
    <s v="#8 @12&quot; TOP"/>
    <m/>
    <n v="7"/>
    <x v="4"/>
    <x v="2"/>
    <n v="14"/>
    <n v="261.65999999999997"/>
    <m/>
  </r>
  <r>
    <n v="298"/>
    <s v="#5 @12&quot; TOP"/>
    <m/>
    <n v="7"/>
    <x v="1"/>
    <x v="1"/>
    <n v="8.8595000000000006"/>
    <n v="64.683209500000004"/>
    <m/>
  </r>
  <r>
    <n v="299"/>
    <s v="#5 @12&quot; TOP (CS2)"/>
    <m/>
    <n v="7"/>
    <x v="1"/>
    <x v="1"/>
    <n v="6.6999999999999993"/>
    <n v="48.916699999999992"/>
    <m/>
  </r>
  <r>
    <n v="300"/>
    <s v="#9 @12&quot; TOP"/>
    <m/>
    <n v="7"/>
    <x v="5"/>
    <x v="2"/>
    <n v="20.474999999999998"/>
    <n v="487.30499999999995"/>
    <m/>
  </r>
  <r>
    <n v="301"/>
    <s v="#7 @12&quot; TOP"/>
    <m/>
    <n v="7"/>
    <x v="3"/>
    <x v="2"/>
    <n v="13.299999999999999"/>
    <n v="190.29639999999998"/>
    <m/>
  </r>
  <r>
    <n v="302"/>
    <s v="#6 @12&quot; TOP"/>
    <m/>
    <n v="7"/>
    <x v="2"/>
    <x v="1"/>
    <n v="7.75"/>
    <n v="81.483499999999992"/>
    <m/>
  </r>
  <r>
    <n v="303"/>
    <s v="MIDDLE STRIP (GRID 3+ -A-F) (MS1)"/>
    <m/>
    <m/>
    <x v="0"/>
    <x v="0"/>
    <m/>
    <n v="0"/>
    <m/>
  </r>
  <r>
    <n v="304"/>
    <s v="#5 @12&quot; TOP"/>
    <m/>
    <n v="15"/>
    <x v="1"/>
    <x v="1"/>
    <n v="5.2074999999999996"/>
    <n v="81.47133749999999"/>
    <m/>
  </r>
  <r>
    <n v="305"/>
    <s v="#6 @12&quot; TOP"/>
    <m/>
    <n v="15"/>
    <x v="2"/>
    <x v="2"/>
    <n v="14.625"/>
    <n v="329.50125000000003"/>
    <m/>
  </r>
  <r>
    <n v="306"/>
    <s v="#6 @12&quot; TOP"/>
    <m/>
    <n v="15"/>
    <x v="2"/>
    <x v="2"/>
    <n v="14.625"/>
    <n v="329.50125000000003"/>
    <m/>
  </r>
  <r>
    <n v="307"/>
    <s v="#6 @12&quot; TOP"/>
    <m/>
    <n v="15"/>
    <x v="2"/>
    <x v="2"/>
    <n v="9.8350000000000009"/>
    <n v="221.58255000000003"/>
    <m/>
  </r>
  <r>
    <n v="308"/>
    <s v="#6 @12&quot; TOP"/>
    <m/>
    <n v="16"/>
    <x v="2"/>
    <x v="2"/>
    <n v="9.8350000000000009"/>
    <n v="236.35472000000001"/>
    <m/>
  </r>
  <r>
    <n v="309"/>
    <s v="#5 @12&quot; TOP"/>
    <m/>
    <n v="16"/>
    <x v="1"/>
    <x v="1"/>
    <n v="6.5625"/>
    <n v="109.51499999999999"/>
    <m/>
  </r>
  <r>
    <n v="310"/>
    <s v="COLUMN STRIP (GRID 3/A-F)"/>
    <m/>
    <m/>
    <x v="0"/>
    <x v="0"/>
    <m/>
    <n v="0"/>
    <m/>
  </r>
  <r>
    <n v="311"/>
    <s v="#5 @12&quot; TOP"/>
    <m/>
    <n v="11"/>
    <x v="1"/>
    <x v="1"/>
    <n v="7.05"/>
    <n v="80.884649999999993"/>
    <m/>
  </r>
  <r>
    <n v="312"/>
    <s v="#8 @12&quot; TOP"/>
    <m/>
    <n v="11"/>
    <x v="4"/>
    <x v="2"/>
    <n v="18.520000000000003"/>
    <n v="543.93240000000003"/>
    <m/>
  </r>
  <r>
    <n v="313"/>
    <s v="#7 @10&quot; TOP"/>
    <m/>
    <n v="13"/>
    <x v="3"/>
    <x v="2"/>
    <n v="18.520000000000003"/>
    <n v="492.11344000000008"/>
    <m/>
  </r>
  <r>
    <n v="314"/>
    <s v="#6 @12&quot; TOP"/>
    <m/>
    <n v="11"/>
    <x v="2"/>
    <x v="2"/>
    <n v="33.33"/>
    <n v="550.67825999999991"/>
    <m/>
  </r>
  <r>
    <n v="315"/>
    <s v="#7 @12&quot; TOP"/>
    <m/>
    <n v="11"/>
    <x v="3"/>
    <x v="2"/>
    <n v="14.230999999999998"/>
    <n v="319.96980399999995"/>
    <m/>
  </r>
  <r>
    <n v="316"/>
    <s v="#5 @12&quot; TOP"/>
    <m/>
    <n v="11"/>
    <x v="1"/>
    <x v="1"/>
    <n v="10.199999999999999"/>
    <n v="117.02459999999998"/>
    <m/>
  </r>
  <r>
    <n v="317"/>
    <s v="MIDDLE STRIP (GRID 2.5 -A-F) (MS1)"/>
    <m/>
    <m/>
    <x v="0"/>
    <x v="0"/>
    <m/>
    <n v="0"/>
    <m/>
  </r>
  <r>
    <n v="318"/>
    <s v="#5 @12&quot; TOP"/>
    <m/>
    <n v="10"/>
    <x v="1"/>
    <x v="1"/>
    <n v="6.1675000000000004"/>
    <n v="64.327025000000006"/>
    <m/>
  </r>
  <r>
    <n v="319"/>
    <s v="#6 @12&quot; TOP"/>
    <m/>
    <n v="10"/>
    <x v="2"/>
    <x v="2"/>
    <n v="10.835000000000001"/>
    <n v="162.74170000000001"/>
    <m/>
  </r>
  <r>
    <n v="320"/>
    <s v="#5 @12&quot; TOP"/>
    <m/>
    <n v="10"/>
    <x v="1"/>
    <x v="2"/>
    <n v="7.6675000000000004"/>
    <n v="79.972025000000002"/>
    <m/>
  </r>
  <r>
    <n v="321"/>
    <s v="MIDDLE STRIP (GRID 1.2+ -A-F)"/>
    <m/>
    <m/>
    <x v="0"/>
    <x v="0"/>
    <m/>
    <n v="0"/>
    <m/>
  </r>
  <r>
    <n v="322"/>
    <s v="#5 @12&quot; TOP"/>
    <m/>
    <n v="8"/>
    <x v="1"/>
    <x v="1"/>
    <n v="7.8324999999999996"/>
    <n v="65.354379999999992"/>
    <m/>
  </r>
  <r>
    <n v="323"/>
    <s v="#6 @12&quot; TOP"/>
    <m/>
    <n v="8"/>
    <x v="2"/>
    <x v="2"/>
    <n v="7.8324999999999996"/>
    <n v="94.115319999999997"/>
    <m/>
  </r>
  <r>
    <n v="324"/>
    <s v="#5 @12&quot; TOP"/>
    <m/>
    <n v="10"/>
    <x v="1"/>
    <x v="1"/>
    <n v="11.58"/>
    <n v="120.7794"/>
    <m/>
  </r>
  <r>
    <n v="325"/>
    <s v="#5 @12&quot; TOP"/>
    <m/>
    <n v="10"/>
    <x v="1"/>
    <x v="2"/>
    <n v="11.58"/>
    <n v="120.7794"/>
    <m/>
  </r>
  <r>
    <n v="326"/>
    <s v="COLUMN STRIP (GRID 1.2/A-F)"/>
    <m/>
    <m/>
    <x v="0"/>
    <x v="0"/>
    <m/>
    <n v="0"/>
    <m/>
  </r>
  <r>
    <n v="327"/>
    <s v="#5 @12&quot; TOP"/>
    <m/>
    <n v="7"/>
    <x v="1"/>
    <x v="1"/>
    <n v="21.75"/>
    <n v="158.79675"/>
    <m/>
  </r>
  <r>
    <n v="328"/>
    <s v="#5 @12&quot; TOP"/>
    <m/>
    <n v="7"/>
    <x v="1"/>
    <x v="1"/>
    <n v="9.75"/>
    <n v="71.184749999999994"/>
    <m/>
  </r>
  <r>
    <n v="329"/>
    <s v="#5 @12&quot; TOP"/>
    <m/>
    <n v="7"/>
    <x v="1"/>
    <x v="1"/>
    <n v="22.75"/>
    <n v="166.09774999999999"/>
    <m/>
  </r>
  <r>
    <n v="330"/>
    <s v="WALL TO SLAB DWLS(SEC 19/S-13)"/>
    <m/>
    <m/>
    <x v="0"/>
    <x v="0"/>
    <m/>
    <n v="0"/>
    <m/>
  </r>
  <r>
    <n v="331"/>
    <s v="#5 @16&quot; CMU WALLS"/>
    <m/>
    <n v="43"/>
    <x v="1"/>
    <x v="1"/>
    <n v="4.75"/>
    <n v="213.03274999999999"/>
    <m/>
  </r>
  <r>
    <n v="332"/>
    <s v="#4 @48 &quot; STANDEES"/>
    <m/>
    <n v="1115"/>
    <x v="6"/>
    <x v="1"/>
    <n v="4.91"/>
    <n v="3657.0662000000002"/>
    <m/>
  </r>
  <r>
    <n v="333"/>
    <s v="SLAB ADDITIONALS"/>
    <m/>
    <m/>
    <x v="0"/>
    <x v="0"/>
    <m/>
    <n v="0"/>
    <m/>
  </r>
  <r>
    <n v="334"/>
    <s v="2-#6 @8'-0&quot; BOT"/>
    <m/>
    <n v="2"/>
    <x v="2"/>
    <x v="2"/>
    <n v="8"/>
    <n v="24.032"/>
    <m/>
  </r>
  <r>
    <n v="335"/>
    <s v="2-#5 ADDLS @OPENING"/>
    <m/>
    <n v="2"/>
    <x v="1"/>
    <x v="2"/>
    <n v="28.5"/>
    <n v="59.450999999999993"/>
    <m/>
  </r>
  <r>
    <n v="336"/>
    <s v="DROP PANEL:(4'-0&quot;SQ x 0'-8&quot;DP)"/>
    <m/>
    <m/>
    <x v="0"/>
    <x v="0"/>
    <m/>
    <n v="0"/>
    <m/>
  </r>
  <r>
    <n v="337"/>
    <s v="#4 @12&quot; BOT E.W"/>
    <n v="15"/>
    <n v="10"/>
    <x v="6"/>
    <x v="2"/>
    <n v="3.84"/>
    <n v="384.76799999999997"/>
    <m/>
  </r>
  <r>
    <n v="338"/>
    <s v="SEC:1/S-34A (2-LOCS)"/>
    <m/>
    <m/>
    <x v="0"/>
    <x v="0"/>
    <m/>
    <n v="0"/>
    <m/>
  </r>
  <r>
    <n v="339"/>
    <s v="1-#4 CONT"/>
    <n v="2"/>
    <n v="1"/>
    <x v="6"/>
    <x v="2"/>
    <n v="29.5"/>
    <n v="39.411999999999999"/>
    <m/>
  </r>
  <r>
    <n v="340"/>
    <s v="#4 @12&quot; DWLS"/>
    <n v="2"/>
    <n v="31"/>
    <x v="6"/>
    <x v="1"/>
    <n v="1.84"/>
    <n v="76.20544000000001"/>
    <m/>
  </r>
  <r>
    <n v="341"/>
    <s v="WALL TO SLAB DWLS(SEC 19/S-13)"/>
    <m/>
    <m/>
    <x v="0"/>
    <x v="0"/>
    <m/>
    <n v="0"/>
    <m/>
  </r>
  <r>
    <n v="342"/>
    <s v="#5 @16&quot; CMU WALLS"/>
    <m/>
    <n v="43"/>
    <x v="1"/>
    <x v="1"/>
    <n v="4.75"/>
    <n v="213.03274999999999"/>
    <m/>
  </r>
  <r>
    <n v="343"/>
    <s v="#4 @48 &quot; STANDEES"/>
    <m/>
    <n v="1115"/>
    <x v="6"/>
    <x v="1"/>
    <n v="4.91"/>
    <n v="3657.0662000000002"/>
    <m/>
  </r>
  <r>
    <n v="344"/>
    <m/>
    <m/>
    <m/>
    <x v="0"/>
    <x v="0"/>
    <m/>
    <n v="0"/>
    <m/>
  </r>
  <r>
    <n v="345"/>
    <m/>
    <m/>
    <m/>
    <x v="0"/>
    <x v="0"/>
    <m/>
    <n v="0"/>
    <m/>
  </r>
  <r>
    <n v="346"/>
    <m/>
    <m/>
    <m/>
    <x v="0"/>
    <x v="0"/>
    <m/>
    <n v="0"/>
    <m/>
  </r>
  <r>
    <n v="347"/>
    <m/>
    <m/>
    <m/>
    <x v="0"/>
    <x v="0"/>
    <m/>
    <n v="0"/>
    <m/>
  </r>
  <r>
    <n v="348"/>
    <m/>
    <m/>
    <m/>
    <x v="0"/>
    <x v="0"/>
    <m/>
    <n v="0"/>
    <m/>
  </r>
  <r>
    <n v="349"/>
    <m/>
    <m/>
    <m/>
    <x v="0"/>
    <x v="0"/>
    <m/>
    <n v="0"/>
    <m/>
  </r>
  <r>
    <n v="350"/>
    <m/>
    <m/>
    <m/>
    <x v="0"/>
    <x v="0"/>
    <m/>
    <n v="0"/>
    <m/>
  </r>
  <r>
    <m/>
    <m/>
    <m/>
    <m/>
    <x v="0"/>
    <x v="0"/>
    <s v="Total Weight"/>
    <n v="121001.15973400003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1">
  <r>
    <n v="1"/>
    <s v="SHT. NO: S-4 CONCRETE DECK REINFORCING LAYOUT PLAN"/>
    <m/>
    <m/>
    <x v="0"/>
    <x v="0"/>
    <m/>
    <n v="0"/>
    <m/>
  </r>
  <r>
    <n v="2"/>
    <s v="CONCRETE BEAMS"/>
    <m/>
    <m/>
    <x v="0"/>
    <x v="0"/>
    <m/>
    <n v="0"/>
    <m/>
  </r>
  <r>
    <n v="3"/>
    <s v="1ST FLR  BEAMS"/>
    <m/>
    <m/>
    <x v="0"/>
    <x v="0"/>
    <m/>
    <n v="0"/>
    <m/>
  </r>
  <r>
    <n v="4"/>
    <s v="B14 (12&quot;x42&quot; DP) (SEC 13/S-12)"/>
    <m/>
    <m/>
    <x v="0"/>
    <x v="0"/>
    <m/>
    <n v="0"/>
    <m/>
  </r>
  <r>
    <n v="5"/>
    <s v="4-#9 BOT"/>
    <m/>
    <n v="4"/>
    <x v="1"/>
    <x v="1"/>
    <n v="30.875"/>
    <n v="419.9"/>
    <m/>
  </r>
  <r>
    <n v="6"/>
    <s v="2-#8 TOP"/>
    <m/>
    <n v="2"/>
    <x v="2"/>
    <x v="2"/>
    <n v="30.125"/>
    <n v="160.86750000000001"/>
    <m/>
  </r>
  <r>
    <n v="7"/>
    <s v="#3 @6&quot; STIR."/>
    <m/>
    <n v="34"/>
    <x v="3"/>
    <x v="2"/>
    <n v="8.66"/>
    <n v="110.70944"/>
    <m/>
  </r>
  <r>
    <n v="8"/>
    <s v="B14A (12&quot;x24&quot; DP) (SEC 13/S-12)"/>
    <m/>
    <m/>
    <x v="0"/>
    <x v="0"/>
    <m/>
    <n v="0"/>
    <m/>
  </r>
  <r>
    <n v="9"/>
    <s v="4-#8 BOT"/>
    <m/>
    <n v="4"/>
    <x v="2"/>
    <x v="1"/>
    <n v="23.785"/>
    <n v="254.02379999999999"/>
    <m/>
  </r>
  <r>
    <n v="10"/>
    <s v="2-#7 TOP"/>
    <m/>
    <n v="2"/>
    <x v="4"/>
    <x v="2"/>
    <n v="26.204999999999998"/>
    <n v="107.12603999999999"/>
    <m/>
  </r>
  <r>
    <n v="11"/>
    <s v="#3 @6&quot; STIR."/>
    <m/>
    <n v="34"/>
    <x v="3"/>
    <x v="2"/>
    <n v="5.66"/>
    <n v="72.357440000000011"/>
    <m/>
  </r>
  <r>
    <n v="12"/>
    <m/>
    <m/>
    <m/>
    <x v="0"/>
    <x v="0"/>
    <m/>
    <n v="0"/>
    <m/>
  </r>
  <r>
    <n v="13"/>
    <m/>
    <m/>
    <m/>
    <x v="0"/>
    <x v="0"/>
    <m/>
    <n v="0"/>
    <m/>
  </r>
  <r>
    <n v="14"/>
    <m/>
    <m/>
    <m/>
    <x v="0"/>
    <x v="0"/>
    <m/>
    <n v="0"/>
    <m/>
  </r>
  <r>
    <n v="15"/>
    <m/>
    <m/>
    <m/>
    <x v="0"/>
    <x v="0"/>
    <m/>
    <n v="0"/>
    <m/>
  </r>
  <r>
    <n v="16"/>
    <m/>
    <m/>
    <m/>
    <x v="0"/>
    <x v="0"/>
    <m/>
    <n v="0"/>
    <m/>
  </r>
  <r>
    <n v="17"/>
    <m/>
    <m/>
    <m/>
    <x v="0"/>
    <x v="0"/>
    <m/>
    <n v="0"/>
    <m/>
  </r>
  <r>
    <n v="18"/>
    <m/>
    <m/>
    <m/>
    <x v="0"/>
    <x v="0"/>
    <m/>
    <n v="0"/>
    <m/>
  </r>
  <r>
    <n v="19"/>
    <m/>
    <m/>
    <m/>
    <x v="0"/>
    <x v="0"/>
    <m/>
    <n v="0"/>
    <m/>
  </r>
  <r>
    <n v="20"/>
    <m/>
    <m/>
    <m/>
    <x v="0"/>
    <x v="0"/>
    <m/>
    <n v="0"/>
    <m/>
  </r>
  <r>
    <n v="21"/>
    <m/>
    <m/>
    <m/>
    <x v="0"/>
    <x v="0"/>
    <m/>
    <n v="0"/>
    <m/>
  </r>
  <r>
    <n v="22"/>
    <m/>
    <m/>
    <m/>
    <x v="0"/>
    <x v="0"/>
    <m/>
    <n v="0"/>
    <m/>
  </r>
  <r>
    <n v="23"/>
    <m/>
    <m/>
    <m/>
    <x v="0"/>
    <x v="0"/>
    <m/>
    <n v="0"/>
    <m/>
  </r>
  <r>
    <n v="24"/>
    <m/>
    <m/>
    <m/>
    <x v="0"/>
    <x v="0"/>
    <m/>
    <n v="0"/>
    <m/>
  </r>
  <r>
    <n v="25"/>
    <m/>
    <m/>
    <m/>
    <x v="0"/>
    <x v="0"/>
    <m/>
    <n v="0"/>
    <m/>
  </r>
  <r>
    <n v="26"/>
    <m/>
    <m/>
    <m/>
    <x v="0"/>
    <x v="0"/>
    <m/>
    <n v="0"/>
    <m/>
  </r>
  <r>
    <n v="27"/>
    <m/>
    <m/>
    <m/>
    <x v="0"/>
    <x v="0"/>
    <m/>
    <n v="0"/>
    <m/>
  </r>
  <r>
    <n v="28"/>
    <m/>
    <m/>
    <m/>
    <x v="0"/>
    <x v="0"/>
    <m/>
    <n v="0"/>
    <m/>
  </r>
  <r>
    <n v="29"/>
    <m/>
    <m/>
    <m/>
    <x v="0"/>
    <x v="0"/>
    <m/>
    <n v="0"/>
    <m/>
  </r>
  <r>
    <n v="30"/>
    <m/>
    <m/>
    <m/>
    <x v="0"/>
    <x v="0"/>
    <m/>
    <n v="0"/>
    <m/>
  </r>
  <r>
    <n v="31"/>
    <m/>
    <m/>
    <m/>
    <x v="0"/>
    <x v="0"/>
    <m/>
    <n v="0"/>
    <m/>
  </r>
  <r>
    <n v="32"/>
    <m/>
    <m/>
    <m/>
    <x v="0"/>
    <x v="0"/>
    <m/>
    <n v="0"/>
    <m/>
  </r>
  <r>
    <n v="33"/>
    <m/>
    <m/>
    <m/>
    <x v="0"/>
    <x v="0"/>
    <m/>
    <n v="0"/>
    <m/>
  </r>
  <r>
    <n v="34"/>
    <m/>
    <m/>
    <m/>
    <x v="0"/>
    <x v="0"/>
    <m/>
    <n v="0"/>
    <m/>
  </r>
  <r>
    <n v="35"/>
    <m/>
    <m/>
    <m/>
    <x v="0"/>
    <x v="0"/>
    <m/>
    <n v="0"/>
    <m/>
  </r>
  <r>
    <n v="36"/>
    <m/>
    <m/>
    <m/>
    <x v="0"/>
    <x v="0"/>
    <m/>
    <n v="0"/>
    <m/>
  </r>
  <r>
    <n v="37"/>
    <m/>
    <m/>
    <m/>
    <x v="0"/>
    <x v="0"/>
    <m/>
    <n v="0"/>
    <m/>
  </r>
  <r>
    <n v="38"/>
    <m/>
    <m/>
    <m/>
    <x v="0"/>
    <x v="0"/>
    <m/>
    <n v="0"/>
    <m/>
  </r>
  <r>
    <n v="39"/>
    <m/>
    <m/>
    <m/>
    <x v="0"/>
    <x v="0"/>
    <m/>
    <n v="0"/>
    <m/>
  </r>
  <r>
    <n v="40"/>
    <m/>
    <m/>
    <m/>
    <x v="0"/>
    <x v="0"/>
    <m/>
    <n v="0"/>
    <m/>
  </r>
  <r>
    <n v="41"/>
    <m/>
    <m/>
    <m/>
    <x v="0"/>
    <x v="0"/>
    <m/>
    <n v="0"/>
    <m/>
  </r>
  <r>
    <n v="42"/>
    <m/>
    <m/>
    <m/>
    <x v="0"/>
    <x v="0"/>
    <m/>
    <n v="0"/>
    <m/>
  </r>
  <r>
    <n v="43"/>
    <m/>
    <m/>
    <m/>
    <x v="0"/>
    <x v="0"/>
    <m/>
    <n v="0"/>
    <m/>
  </r>
  <r>
    <n v="44"/>
    <m/>
    <m/>
    <m/>
    <x v="0"/>
    <x v="0"/>
    <m/>
    <n v="0"/>
    <m/>
  </r>
  <r>
    <n v="45"/>
    <m/>
    <m/>
    <m/>
    <x v="0"/>
    <x v="0"/>
    <m/>
    <n v="0"/>
    <m/>
  </r>
  <r>
    <n v="46"/>
    <m/>
    <m/>
    <m/>
    <x v="0"/>
    <x v="0"/>
    <m/>
    <n v="0"/>
    <m/>
  </r>
  <r>
    <n v="47"/>
    <m/>
    <m/>
    <m/>
    <x v="0"/>
    <x v="0"/>
    <m/>
    <n v="0"/>
    <m/>
  </r>
  <r>
    <n v="48"/>
    <m/>
    <m/>
    <m/>
    <x v="0"/>
    <x v="0"/>
    <m/>
    <n v="0"/>
    <m/>
  </r>
  <r>
    <n v="49"/>
    <m/>
    <m/>
    <m/>
    <x v="0"/>
    <x v="0"/>
    <m/>
    <n v="0"/>
    <m/>
  </r>
  <r>
    <n v="50"/>
    <m/>
    <m/>
    <m/>
    <x v="0"/>
    <x v="0"/>
    <m/>
    <n v="0"/>
    <m/>
  </r>
  <r>
    <m/>
    <m/>
    <m/>
    <m/>
    <x v="0"/>
    <x v="0"/>
    <s v="Total Weight"/>
    <n v="1124.9842200000001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01">
  <r>
    <n v="1"/>
    <s v="SHT NO:S-4 1ST FLR LVL CONC DECK REINF LAYOUT PLAN"/>
    <m/>
    <m/>
    <x v="0"/>
    <x v="0"/>
    <m/>
    <n v="0"/>
    <m/>
  </r>
  <r>
    <n v="2"/>
    <s v="13&quot;&amp;16&quot; THK CONC DECK-(E-W DIR) (BOT LW)"/>
    <m/>
    <m/>
    <x v="0"/>
    <x v="0"/>
    <m/>
    <n v="0"/>
    <m/>
  </r>
  <r>
    <n v="3"/>
    <s v="EDGE STRIP. BOT LW (GRID 7.1-F)"/>
    <m/>
    <m/>
    <x v="0"/>
    <x v="0"/>
    <m/>
    <n v="0"/>
    <m/>
  </r>
  <r>
    <n v="4"/>
    <s v="#8 @12&quot; BOT LW"/>
    <m/>
    <n v="6"/>
    <x v="1"/>
    <x v="1"/>
    <n v="35.337000000000003"/>
    <n v="566.09874000000013"/>
    <m/>
  </r>
  <r>
    <n v="5"/>
    <s v="#6 @10&quot; BOT LW"/>
    <m/>
    <n v="7"/>
    <x v="2"/>
    <x v="1"/>
    <n v="30.17"/>
    <n v="317.20738"/>
    <m/>
  </r>
  <r>
    <n v="6"/>
    <s v="#6 @10&quot; BOT LW"/>
    <m/>
    <n v="7"/>
    <x v="2"/>
    <x v="1"/>
    <n v="30.17"/>
    <n v="317.20738"/>
    <m/>
  </r>
  <r>
    <n v="7"/>
    <s v="#8 @12&quot; BOT LW"/>
    <m/>
    <n v="6"/>
    <x v="1"/>
    <x v="1"/>
    <n v="30.337000000000003"/>
    <n v="485.99874"/>
    <m/>
  </r>
  <r>
    <n v="8"/>
    <s v="#5 @12&quot; BOT LW"/>
    <m/>
    <n v="6"/>
    <x v="3"/>
    <x v="1"/>
    <n v="15.92"/>
    <n v="99.627359999999996"/>
    <m/>
  </r>
  <r>
    <n v="9"/>
    <s v="MID STRIP"/>
    <m/>
    <m/>
    <x v="0"/>
    <x v="0"/>
    <m/>
    <n v="0"/>
    <m/>
  </r>
  <r>
    <n v="10"/>
    <s v="#5 @12&quot; BOT LW"/>
    <m/>
    <n v="9"/>
    <x v="3"/>
    <x v="1"/>
    <n v="5.67"/>
    <n v="53.224289999999996"/>
    <m/>
  </r>
  <r>
    <n v="11"/>
    <s v="#6 @10&quot; BOT LW"/>
    <m/>
    <n v="10"/>
    <x v="2"/>
    <x v="1"/>
    <n v="29.67"/>
    <n v="445.64340000000004"/>
    <m/>
  </r>
  <r>
    <n v="12"/>
    <s v="#5 @10&quot; BOT LW"/>
    <m/>
    <n v="10"/>
    <x v="3"/>
    <x v="1"/>
    <n v="29.17"/>
    <n v="304.24309999999997"/>
    <m/>
  </r>
  <r>
    <n v="13"/>
    <s v="#5 @10&quot; BOT LW"/>
    <m/>
    <n v="10"/>
    <x v="3"/>
    <x v="1"/>
    <n v="29.17"/>
    <n v="304.24309999999997"/>
    <m/>
  </r>
  <r>
    <n v="14"/>
    <s v="#7 @12&quot; BOT LW"/>
    <m/>
    <n v="9"/>
    <x v="4"/>
    <x v="1"/>
    <n v="29.5"/>
    <n v="542.68200000000002"/>
    <m/>
  </r>
  <r>
    <n v="15"/>
    <s v="#5 @12&quot; BOT LW"/>
    <m/>
    <n v="6"/>
    <x v="3"/>
    <x v="1"/>
    <n v="15.5"/>
    <n v="96.998999999999995"/>
    <m/>
  </r>
  <r>
    <n v="16"/>
    <s v="COLUMN STRIP(GRID E/8-2.8)"/>
    <m/>
    <m/>
    <x v="0"/>
    <x v="0"/>
    <m/>
    <n v="0"/>
    <m/>
  </r>
  <r>
    <n v="17"/>
    <s v="#8 @12&quot; BOT LW"/>
    <m/>
    <n v="13"/>
    <x v="1"/>
    <x v="1"/>
    <n v="22.337000000000003"/>
    <n v="775.31727000000001"/>
    <m/>
  </r>
  <r>
    <n v="18"/>
    <s v="#6 @12&quot; BOT LW"/>
    <m/>
    <n v="13"/>
    <x v="2"/>
    <x v="1"/>
    <n v="30.67"/>
    <n v="598.86242000000004"/>
    <m/>
  </r>
  <r>
    <n v="19"/>
    <s v="#6 @10&quot; BOT LW"/>
    <m/>
    <n v="16"/>
    <x v="2"/>
    <x v="1"/>
    <n v="30.17"/>
    <n v="725.04543999999999"/>
    <m/>
  </r>
  <r>
    <n v="20"/>
    <s v="#6 @10&quot; BOT LW"/>
    <m/>
    <n v="16"/>
    <x v="2"/>
    <x v="1"/>
    <n v="30.17"/>
    <n v="725.04543999999999"/>
    <m/>
  </r>
  <r>
    <n v="21"/>
    <s v="#8 @12&quot; BOT LW"/>
    <m/>
    <n v="13"/>
    <x v="1"/>
    <x v="1"/>
    <n v="30.337000000000003"/>
    <n v="1052.9972700000001"/>
    <m/>
  </r>
  <r>
    <n v="22"/>
    <s v="#5 @12&quot; BOT LW"/>
    <m/>
    <n v="4"/>
    <x v="3"/>
    <x v="1"/>
    <n v="10.837"/>
    <n v="45.211963999999995"/>
    <m/>
  </r>
  <r>
    <n v="23"/>
    <s v="3-#7 BOT ADDLS"/>
    <m/>
    <n v="3"/>
    <x v="4"/>
    <x v="1"/>
    <n v="11"/>
    <n v="67.451999999999998"/>
    <m/>
  </r>
  <r>
    <n v="24"/>
    <s v="MID STRIP"/>
    <m/>
    <m/>
    <x v="0"/>
    <x v="0"/>
    <m/>
    <n v="0"/>
    <m/>
  </r>
  <r>
    <n v="25"/>
    <s v="#5 @12&quot; BOT LW"/>
    <m/>
    <n v="15"/>
    <x v="3"/>
    <x v="1"/>
    <n v="20.5"/>
    <n v="320.72249999999997"/>
    <m/>
  </r>
  <r>
    <n v="26"/>
    <s v="#5 @10&quot; BOT LW"/>
    <m/>
    <n v="18"/>
    <x v="3"/>
    <x v="1"/>
    <n v="30"/>
    <n v="563.22"/>
    <m/>
  </r>
  <r>
    <n v="27"/>
    <s v="#5 @10&quot; BOT LW"/>
    <m/>
    <n v="18"/>
    <x v="3"/>
    <x v="1"/>
    <n v="29.33"/>
    <n v="550.64141999999993"/>
    <m/>
  </r>
  <r>
    <n v="28"/>
    <s v="#5 @12&quot; BOT LW"/>
    <m/>
    <n v="15"/>
    <x v="3"/>
    <x v="1"/>
    <n v="26.25"/>
    <n v="410.68124999999998"/>
    <m/>
  </r>
  <r>
    <n v="29"/>
    <s v="#7 @12&quot; BOT LW"/>
    <m/>
    <n v="14"/>
    <x v="4"/>
    <x v="1"/>
    <n v="31.917000000000002"/>
    <n v="913.33687200000008"/>
    <m/>
  </r>
  <r>
    <n v="30"/>
    <s v="COLUMN STRIP"/>
    <m/>
    <m/>
    <x v="0"/>
    <x v="0"/>
    <m/>
    <n v="0"/>
    <m/>
  </r>
  <r>
    <n v="31"/>
    <s v="#6 @12&quot; BOT LW"/>
    <m/>
    <n v="12"/>
    <x v="2"/>
    <x v="1"/>
    <n v="21.247"/>
    <n v="382.95592800000003"/>
    <m/>
  </r>
  <r>
    <n v="32"/>
    <s v="#6 @12&quot; BOT LW"/>
    <m/>
    <n v="12"/>
    <x v="2"/>
    <x v="1"/>
    <n v="31.75"/>
    <n v="572.26199999999994"/>
    <m/>
  </r>
  <r>
    <n v="33"/>
    <s v="#6 @12&quot; BOT LW"/>
    <m/>
    <n v="12"/>
    <x v="2"/>
    <x v="1"/>
    <n v="30.67"/>
    <n v="552.79608000000007"/>
    <m/>
  </r>
  <r>
    <n v="34"/>
    <s v="#5 @12&quot; BOT LW"/>
    <m/>
    <n v="12"/>
    <x v="3"/>
    <x v="1"/>
    <n v="21.51"/>
    <n v="269.21915999999999"/>
    <m/>
  </r>
  <r>
    <n v="35"/>
    <s v="#8 @10&quot; BOT LW"/>
    <m/>
    <n v="14"/>
    <x v="1"/>
    <x v="1"/>
    <n v="36.167000000000002"/>
    <n v="1351.92246"/>
    <m/>
  </r>
  <r>
    <n v="36"/>
    <s v="#5 @12&quot; BOT LW"/>
    <m/>
    <n v="1"/>
    <x v="3"/>
    <x v="1"/>
    <n v="8.3369999999999997"/>
    <n v="8.6954909999999987"/>
    <m/>
  </r>
  <r>
    <n v="37"/>
    <s v="#5 @12&quot; BOT LW"/>
    <m/>
    <n v="5"/>
    <x v="3"/>
    <x v="1"/>
    <n v="5.8369999999999997"/>
    <n v="30.439954999999998"/>
    <m/>
  </r>
  <r>
    <n v="38"/>
    <s v="#9 @10&quot; BOT LW"/>
    <m/>
    <n v="6"/>
    <x v="5"/>
    <x v="1"/>
    <n v="26.004000000000001"/>
    <n v="530.48160000000007"/>
    <m/>
  </r>
  <r>
    <n v="39"/>
    <s v="MID STRIP"/>
    <m/>
    <m/>
    <x v="0"/>
    <x v="0"/>
    <m/>
    <n v="0"/>
    <m/>
  </r>
  <r>
    <n v="40"/>
    <s v="#6 @12&quot; BOT LW"/>
    <m/>
    <n v="5"/>
    <x v="2"/>
    <x v="1"/>
    <n v="20.747"/>
    <n v="155.80996999999999"/>
    <m/>
  </r>
  <r>
    <n v="41"/>
    <s v="#6 @12&quot; BOT LW"/>
    <m/>
    <n v="5"/>
    <x v="2"/>
    <x v="1"/>
    <n v="6.9169999999999998"/>
    <n v="51.946669999999997"/>
    <m/>
  </r>
  <r>
    <n v="42"/>
    <s v="#6 @12&quot; BOT LW"/>
    <m/>
    <n v="3"/>
    <x v="2"/>
    <x v="1"/>
    <n v="10.67"/>
    <n v="48.07902"/>
    <m/>
  </r>
  <r>
    <n v="43"/>
    <s v="#7 @12&quot; BOT LW"/>
    <m/>
    <n v="4"/>
    <x v="4"/>
    <x v="1"/>
    <n v="26.667000000000002"/>
    <n v="218.02939200000003"/>
    <m/>
  </r>
  <r>
    <n v="44"/>
    <s v="#7 @12&quot; BOT LW"/>
    <m/>
    <n v="5"/>
    <x v="4"/>
    <x v="1"/>
    <n v="19.917000000000002"/>
    <n v="203.55174000000002"/>
    <m/>
  </r>
  <r>
    <n v="45"/>
    <s v="#5 @10&quot; BOT LW"/>
    <m/>
    <n v="11"/>
    <x v="3"/>
    <x v="1"/>
    <n v="29.25"/>
    <n v="335.58524999999997"/>
    <m/>
  </r>
  <r>
    <n v="46"/>
    <s v="#5 @12&quot; BOT LW"/>
    <m/>
    <n v="9"/>
    <x v="3"/>
    <x v="1"/>
    <n v="20.67"/>
    <n v="194.02929"/>
    <m/>
  </r>
  <r>
    <n v="47"/>
    <s v="#7 @10&quot; BOT LW"/>
    <m/>
    <n v="8"/>
    <x v="4"/>
    <x v="1"/>
    <n v="32.917000000000002"/>
    <n v="538.25878399999999"/>
    <m/>
  </r>
  <r>
    <n v="48"/>
    <s v="#8 @10&quot; BOT LW"/>
    <m/>
    <n v="5"/>
    <x v="1"/>
    <x v="1"/>
    <n v="33.5"/>
    <n v="447.22499999999997"/>
    <m/>
  </r>
  <r>
    <n v="49"/>
    <s v="#5 @12&quot; BOT LW"/>
    <m/>
    <n v="5"/>
    <x v="3"/>
    <x v="1"/>
    <n v="7.9169999999999998"/>
    <n v="41.287154999999991"/>
    <m/>
  </r>
  <r>
    <n v="50"/>
    <s v="#5 @12&quot; BOT LW"/>
    <m/>
    <n v="6"/>
    <x v="3"/>
    <x v="1"/>
    <n v="7.9969999999999999"/>
    <n v="50.045226"/>
    <m/>
  </r>
  <r>
    <n v="51"/>
    <s v="#5 @12&quot; BOT LW"/>
    <m/>
    <n v="6"/>
    <x v="3"/>
    <x v="1"/>
    <n v="5.4169999999999998"/>
    <n v="33.899585999999999"/>
    <m/>
  </r>
  <r>
    <n v="52"/>
    <s v="#9 @10&quot; BOT LW"/>
    <m/>
    <n v="14"/>
    <x v="5"/>
    <x v="1"/>
    <n v="26.417000000000002"/>
    <n v="1257.4492"/>
    <m/>
  </r>
  <r>
    <n v="53"/>
    <s v="COLUMN STRIP"/>
    <m/>
    <m/>
    <x v="0"/>
    <x v="0"/>
    <m/>
    <n v="0"/>
    <m/>
  </r>
  <r>
    <n v="54"/>
    <s v="#8 @12&quot; BOT LW"/>
    <m/>
    <n v="10"/>
    <x v="1"/>
    <x v="1"/>
    <n v="20.837000000000003"/>
    <n v="556.3479000000001"/>
    <m/>
  </r>
  <r>
    <n v="55"/>
    <s v="#7 @10&quot; BOT LW"/>
    <m/>
    <n v="12"/>
    <x v="4"/>
    <x v="1"/>
    <n v="32.090000000000003"/>
    <n v="787.10352000000012"/>
    <m/>
  </r>
  <r>
    <n v="56"/>
    <s v="#5 @10&quot; BOT LW"/>
    <m/>
    <n v="12"/>
    <x v="3"/>
    <x v="1"/>
    <n v="30"/>
    <n v="375.48"/>
    <m/>
  </r>
  <r>
    <n v="57"/>
    <s v="#5 @10&quot; BOT LW"/>
    <m/>
    <n v="12"/>
    <x v="3"/>
    <x v="1"/>
    <n v="21.67"/>
    <n v="271.22172"/>
    <m/>
  </r>
  <r>
    <n v="58"/>
    <s v="#8 @10&quot; BOT LW"/>
    <m/>
    <n v="12"/>
    <x v="1"/>
    <x v="1"/>
    <n v="33.667000000000002"/>
    <n v="1078.6906799999999"/>
    <m/>
  </r>
  <r>
    <n v="59"/>
    <s v="#5 @12&quot; BOT LW"/>
    <m/>
    <n v="10"/>
    <x v="3"/>
    <x v="1"/>
    <n v="8.3369999999999997"/>
    <n v="86.954909999999984"/>
    <m/>
  </r>
  <r>
    <n v="60"/>
    <s v="#9 @10&quot; BOT LW"/>
    <m/>
    <n v="12"/>
    <x v="5"/>
    <x v="1"/>
    <n v="29.5"/>
    <n v="1203.5999999999999"/>
    <m/>
  </r>
  <r>
    <n v="61"/>
    <s v="#6 @12&quot; BOT LW"/>
    <m/>
    <n v="10"/>
    <x v="2"/>
    <x v="1"/>
    <n v="9.2469999999999999"/>
    <n v="138.88994"/>
    <m/>
  </r>
  <r>
    <n v="62"/>
    <s v="MID STRIP"/>
    <m/>
    <m/>
    <x v="0"/>
    <x v="0"/>
    <m/>
    <n v="0"/>
    <m/>
  </r>
  <r>
    <n v="63"/>
    <s v="#7 @12&quot; BOT LW"/>
    <m/>
    <n v="11"/>
    <x v="4"/>
    <x v="1"/>
    <n v="19.747"/>
    <n v="443.99154799999997"/>
    <m/>
  </r>
  <r>
    <n v="64"/>
    <s v="#6 @12&quot; BOT LW"/>
    <m/>
    <n v="11"/>
    <x v="2"/>
    <x v="1"/>
    <n v="30.67"/>
    <n v="506.72974000000005"/>
    <m/>
  </r>
  <r>
    <n v="65"/>
    <s v="#5 @12&quot; BOT LW"/>
    <m/>
    <n v="11"/>
    <x v="3"/>
    <x v="1"/>
    <n v="24.67"/>
    <n v="283.03891000000004"/>
    <m/>
  </r>
  <r>
    <n v="66"/>
    <s v="#5 @12&quot; BOT LW"/>
    <m/>
    <n v="11"/>
    <x v="3"/>
    <x v="1"/>
    <n v="25.25"/>
    <n v="289.69324999999998"/>
    <m/>
  </r>
  <r>
    <n v="67"/>
    <s v="#7 @10&quot; BOT LW"/>
    <m/>
    <n v="10"/>
    <x v="4"/>
    <x v="1"/>
    <n v="32.912999999999997"/>
    <n v="672.74171999999999"/>
    <m/>
  </r>
  <r>
    <n v="68"/>
    <s v="#5 @12&quot; BOT LW"/>
    <m/>
    <n v="8"/>
    <x v="3"/>
    <x v="1"/>
    <n v="7.4139999999999997"/>
    <n v="61.862415999999996"/>
    <m/>
  </r>
  <r>
    <n v="69"/>
    <s v="#9 @10&quot; BOT LW"/>
    <m/>
    <n v="4"/>
    <x v="5"/>
    <x v="1"/>
    <n v="24.67"/>
    <n v="335.512"/>
    <m/>
  </r>
  <r>
    <n v="70"/>
    <s v="#6 @12&quot; BOT LW"/>
    <m/>
    <n v="8"/>
    <x v="2"/>
    <x v="1"/>
    <n v="8.1639999999999997"/>
    <n v="98.098624000000001"/>
    <m/>
  </r>
  <r>
    <n v="71"/>
    <s v="2-#6 BOT ADDLS ES"/>
    <m/>
    <n v="4"/>
    <x v="2"/>
    <x v="1"/>
    <n v="11.5"/>
    <n v="69.091999999999999"/>
    <m/>
  </r>
  <r>
    <n v="72"/>
    <s v="COLUMN STRIP (GRID B/1-7.1) "/>
    <m/>
    <m/>
    <x v="0"/>
    <x v="0"/>
    <m/>
    <n v="0"/>
    <m/>
  </r>
  <r>
    <n v="73"/>
    <s v="#8 @12&quot; BOT LW"/>
    <m/>
    <n v="11"/>
    <x v="1"/>
    <x v="1"/>
    <n v="20.007000000000005"/>
    <n v="587.60559000000012"/>
    <m/>
  </r>
  <r>
    <n v="74"/>
    <s v="#7 @12&quot; BOT LW"/>
    <m/>
    <n v="11"/>
    <x v="4"/>
    <x v="1"/>
    <n v="34.010000000000005"/>
    <n v="764.68084000000022"/>
    <m/>
  </r>
  <r>
    <n v="75"/>
    <s v="#5 @12&quot; BOT LW"/>
    <m/>
    <n v="11"/>
    <x v="3"/>
    <x v="1"/>
    <n v="24.34"/>
    <n v="279.25281999999999"/>
    <m/>
  </r>
  <r>
    <n v="76"/>
    <s v="#5 @12&quot; BOT LW"/>
    <m/>
    <n v="11"/>
    <x v="3"/>
    <x v="1"/>
    <n v="27.84"/>
    <n v="319.40832"/>
    <m/>
  </r>
  <r>
    <n v="77"/>
    <s v="#7 @12&quot; BOT LW"/>
    <m/>
    <n v="11"/>
    <x v="4"/>
    <x v="1"/>
    <n v="32.840000000000003"/>
    <n v="738.37455999999997"/>
    <m/>
  </r>
  <r>
    <n v="78"/>
    <s v="#5 @10&quot; BOT LW"/>
    <m/>
    <n v="8"/>
    <x v="3"/>
    <x v="1"/>
    <n v="21.84"/>
    <n v="182.23295999999999"/>
    <m/>
  </r>
  <r>
    <n v="79"/>
    <s v="#5 @10&quot; BOT LW"/>
    <m/>
    <n v="5"/>
    <x v="3"/>
    <x v="1"/>
    <n v="13.837"/>
    <n v="72.159954999999997"/>
    <m/>
  </r>
  <r>
    <n v="80"/>
    <s v="#6 @12&quot; BOT LW"/>
    <m/>
    <n v="7"/>
    <x v="2"/>
    <x v="1"/>
    <n v="18.247"/>
    <n v="191.84895800000001"/>
    <m/>
  </r>
  <r>
    <n v="81"/>
    <s v="#8 @12&quot; BOT LW ADDLS"/>
    <m/>
    <n v="6"/>
    <x v="1"/>
    <x v="1"/>
    <n v="28.510000000000005"/>
    <n v="456.73020000000008"/>
    <m/>
  </r>
  <r>
    <n v="82"/>
    <s v="MID STRIP"/>
    <m/>
    <m/>
    <x v="0"/>
    <x v="0"/>
    <m/>
    <n v="0"/>
    <m/>
  </r>
  <r>
    <n v="83"/>
    <s v="#5 @12&quot; BOT LW"/>
    <m/>
    <n v="12"/>
    <x v="3"/>
    <x v="1"/>
    <n v="18.5"/>
    <n v="231.54599999999996"/>
    <m/>
  </r>
  <r>
    <n v="84"/>
    <s v="#7 @12&quot; BOT LW"/>
    <m/>
    <n v="12"/>
    <x v="4"/>
    <x v="1"/>
    <n v="32.58"/>
    <n v="799.12223999999992"/>
    <m/>
  </r>
  <r>
    <n v="85"/>
    <s v="#5 @12&quot; BOT LW"/>
    <m/>
    <n v="12"/>
    <x v="3"/>
    <x v="1"/>
    <n v="23.917000000000002"/>
    <n v="299.34517199999999"/>
    <m/>
  </r>
  <r>
    <n v="86"/>
    <s v="#5 @12&quot; BOT LW"/>
    <m/>
    <n v="12"/>
    <x v="3"/>
    <x v="1"/>
    <n v="26.67"/>
    <n v="333.80171999999999"/>
    <m/>
  </r>
  <r>
    <n v="87"/>
    <s v="#6 @12&quot; BOT LW"/>
    <m/>
    <n v="14"/>
    <x v="2"/>
    <x v="1"/>
    <n v="31.17"/>
    <n v="655.44276000000002"/>
    <m/>
  </r>
  <r>
    <n v="88"/>
    <s v="#5 @12&quot; BOT LW"/>
    <m/>
    <n v="14"/>
    <x v="3"/>
    <x v="1"/>
    <n v="21.840000000000003"/>
    <n v="318.90768000000003"/>
    <m/>
  </r>
  <r>
    <n v="89"/>
    <s v="#5 @12&quot; BOT LW"/>
    <m/>
    <n v="14"/>
    <x v="3"/>
    <x v="1"/>
    <n v="18.507000000000005"/>
    <n v="270.23921400000006"/>
    <m/>
  </r>
  <r>
    <n v="90"/>
    <s v="#8 @12&quot; BOT LW ADDLS"/>
    <m/>
    <n v="10"/>
    <x v="1"/>
    <x v="1"/>
    <n v="26.67"/>
    <n v="712.08899999999994"/>
    <m/>
  </r>
  <r>
    <n v="91"/>
    <s v="EDGE STRIP(GRID A/1-7.1)"/>
    <m/>
    <m/>
    <x v="0"/>
    <x v="0"/>
    <m/>
    <n v="0"/>
    <m/>
  </r>
  <r>
    <n v="92"/>
    <s v="#8 @12&quot; BOT LW"/>
    <m/>
    <n v="7"/>
    <x v="1"/>
    <x v="1"/>
    <n v="19.087000000000003"/>
    <n v="356.73603000000008"/>
    <m/>
  </r>
  <r>
    <n v="93"/>
    <s v="#8 @12&quot; BOT LW"/>
    <m/>
    <n v="13"/>
    <x v="1"/>
    <x v="1"/>
    <n v="31.413999999999998"/>
    <n v="1090.3799399999998"/>
    <m/>
  </r>
  <r>
    <n v="94"/>
    <s v="#5 @12&quot; BOT LW"/>
    <m/>
    <n v="7"/>
    <x v="3"/>
    <x v="1"/>
    <n v="25.340000000000003"/>
    <n v="185.00734000000003"/>
    <m/>
  </r>
  <r>
    <n v="95"/>
    <s v="#5 @12&quot; BOT LW"/>
    <m/>
    <n v="7"/>
    <x v="3"/>
    <x v="1"/>
    <n v="27.840000000000003"/>
    <n v="203.25984"/>
    <m/>
  </r>
  <r>
    <n v="96"/>
    <s v="#7 @12&quot; BOT LW"/>
    <m/>
    <n v="7"/>
    <x v="4"/>
    <x v="1"/>
    <n v="32.340000000000003"/>
    <n v="462.72072000000009"/>
    <m/>
  </r>
  <r>
    <n v="97"/>
    <s v="#5 @10&quot; BOT LW"/>
    <m/>
    <n v="9"/>
    <x v="3"/>
    <x v="1"/>
    <n v="21.840000000000003"/>
    <n v="205.01208000000003"/>
    <m/>
  </r>
  <r>
    <n v="98"/>
    <s v="#6 @12&quot; BOT LW"/>
    <m/>
    <n v="7"/>
    <x v="2"/>
    <x v="1"/>
    <n v="18.247"/>
    <n v="191.84895800000001"/>
    <m/>
  </r>
  <r>
    <n v="99"/>
    <s v="13&quot;&amp;16&quot; THK CONC DECK-(E-W DIR) (TOP LW)"/>
    <m/>
    <m/>
    <x v="0"/>
    <x v="0"/>
    <m/>
    <n v="0"/>
    <m/>
  </r>
  <r>
    <n v="100"/>
    <s v="EDGE STRIP (GRID F/1-8)"/>
    <m/>
    <m/>
    <x v="0"/>
    <x v="0"/>
    <m/>
    <n v="0"/>
    <m/>
  </r>
  <r>
    <n v="101"/>
    <s v="#7 @12&quot; TOP LW"/>
    <m/>
    <n v="6"/>
    <x v="4"/>
    <x v="2"/>
    <n v="16.118500000000001"/>
    <n v="197.67728400000004"/>
    <m/>
  </r>
  <r>
    <n v="102"/>
    <s v="#8 @10&quot; TOP LW"/>
    <m/>
    <n v="7"/>
    <x v="1"/>
    <x v="1"/>
    <n v="20.068999999999999"/>
    <n v="375.08960999999999"/>
    <m/>
  </r>
  <r>
    <n v="103"/>
    <s v="#8 @12&quot; TOP LW"/>
    <m/>
    <n v="6"/>
    <x v="1"/>
    <x v="1"/>
    <n v="19.719000000000001"/>
    <n v="315.89838000000003"/>
    <m/>
  </r>
  <r>
    <n v="104"/>
    <s v="#9 @12&quot; TOP LW"/>
    <m/>
    <n v="6"/>
    <x v="5"/>
    <x v="1"/>
    <n v="20.299999999999997"/>
    <n v="414.11999999999989"/>
    <m/>
  </r>
  <r>
    <n v="105"/>
    <s v="#5 @12&quot; TOP LW"/>
    <m/>
    <n v="6"/>
    <x v="3"/>
    <x v="1"/>
    <n v="20.299999999999997"/>
    <n v="127.03739999999996"/>
    <m/>
  </r>
  <r>
    <n v="106"/>
    <s v="MID STRIP"/>
    <m/>
    <m/>
    <x v="0"/>
    <x v="0"/>
    <m/>
    <n v="0"/>
    <m/>
  </r>
  <r>
    <n v="107"/>
    <s v="#5 @12&quot; TOP LW"/>
    <m/>
    <n v="8"/>
    <x v="3"/>
    <x v="2"/>
    <n v="13.2515"/>
    <n v="110.570516"/>
    <m/>
  </r>
  <r>
    <n v="108"/>
    <s v="#6 @12&quot; TOP LW"/>
    <m/>
    <n v="8"/>
    <x v="2"/>
    <x v="2"/>
    <n v="14.335000000000001"/>
    <n v="172.24936000000002"/>
    <m/>
  </r>
  <r>
    <n v="109"/>
    <s v="#6 @12&quot; TOP LW"/>
    <m/>
    <n v="8"/>
    <x v="2"/>
    <x v="2"/>
    <n v="14.085000000000001"/>
    <n v="169.24536000000001"/>
    <m/>
  </r>
  <r>
    <n v="110"/>
    <s v="#7 @12&quot; TOP LW"/>
    <m/>
    <n v="8"/>
    <x v="4"/>
    <x v="1"/>
    <n v="14.5"/>
    <n v="237.10400000000001"/>
    <m/>
  </r>
  <r>
    <n v="111"/>
    <s v="#5 @12&quot; TOP LW"/>
    <m/>
    <n v="8"/>
    <x v="3"/>
    <x v="1"/>
    <n v="14.5"/>
    <n v="120.98799999999999"/>
    <m/>
  </r>
  <r>
    <n v="112"/>
    <s v="COLUMN STRIP"/>
    <m/>
    <m/>
    <x v="0"/>
    <x v="0"/>
    <m/>
    <n v="0"/>
    <m/>
  </r>
  <r>
    <n v="113"/>
    <s v="#6 @12&quot; TOP LW"/>
    <m/>
    <n v="13"/>
    <x v="2"/>
    <x v="2"/>
    <n v="7.9169999999999998"/>
    <n v="154.58734200000001"/>
    <m/>
  </r>
  <r>
    <n v="114"/>
    <s v="#9 @6&quot; TOP LW"/>
    <m/>
    <n v="26"/>
    <x v="5"/>
    <x v="1"/>
    <n v="20.068999999999999"/>
    <n v="1774.0996"/>
    <m/>
  </r>
  <r>
    <n v="115"/>
    <s v="#8 @12&quot; TOP LW"/>
    <m/>
    <n v="14"/>
    <x v="1"/>
    <x v="1"/>
    <n v="20.068999999999999"/>
    <n v="750.17921999999999"/>
    <m/>
  </r>
  <r>
    <n v="116"/>
    <s v="#8 @12&quot; TOP LW"/>
    <m/>
    <n v="14"/>
    <x v="1"/>
    <x v="1"/>
    <n v="19.719000000000001"/>
    <n v="737.09622000000013"/>
    <m/>
  </r>
  <r>
    <n v="117"/>
    <s v="#9 @12&quot; TOP LW"/>
    <m/>
    <n v="14"/>
    <x v="5"/>
    <x v="1"/>
    <n v="20.299999999999997"/>
    <n v="966.27999999999975"/>
    <m/>
  </r>
  <r>
    <n v="118"/>
    <s v="#5 @12&quot; TOP LW"/>
    <m/>
    <n v="6"/>
    <x v="3"/>
    <x v="1"/>
    <n v="20.299999999999997"/>
    <n v="127.03739999999996"/>
    <m/>
  </r>
  <r>
    <n v="119"/>
    <s v="MID STRIP"/>
    <m/>
    <m/>
    <x v="0"/>
    <x v="0"/>
    <m/>
    <n v="0"/>
    <m/>
  </r>
  <r>
    <n v="120"/>
    <s v="#5 @12&quot; TOP LW"/>
    <m/>
    <n v="15"/>
    <x v="3"/>
    <x v="2"/>
    <n v="5.9595000000000002"/>
    <n v="93.236377500000003"/>
    <m/>
  </r>
  <r>
    <n v="121"/>
    <s v="#8 @12&quot; TOP LW"/>
    <m/>
    <n v="15"/>
    <x v="1"/>
    <x v="1"/>
    <n v="14.585000000000001"/>
    <n v="584.12924999999996"/>
    <m/>
  </r>
  <r>
    <n v="122"/>
    <s v="#6 @12&quot; TOP LW"/>
    <m/>
    <n v="15"/>
    <x v="2"/>
    <x v="1"/>
    <n v="14.585000000000001"/>
    <n v="328.60005000000001"/>
    <m/>
  </r>
  <r>
    <n v="123"/>
    <s v="#6 @12&quot; TOP LW"/>
    <m/>
    <n v="15"/>
    <x v="2"/>
    <x v="3"/>
    <n v="40"/>
    <n v="901.19999999999993"/>
    <m/>
  </r>
  <r>
    <n v="124"/>
    <s v="#5 @12&quot; TOP LW"/>
    <m/>
    <n v="14"/>
    <x v="3"/>
    <x v="1"/>
    <n v="31.5"/>
    <n v="459.96299999999991"/>
    <m/>
  </r>
  <r>
    <n v="125"/>
    <s v="#5 @12&quot; TOP LW"/>
    <m/>
    <n v="14"/>
    <x v="3"/>
    <x v="1"/>
    <n v="8.5"/>
    <n v="124.11699999999999"/>
    <m/>
  </r>
  <r>
    <n v="126"/>
    <s v="COLUMN STRIP"/>
    <m/>
    <m/>
    <x v="0"/>
    <x v="0"/>
    <m/>
    <n v="0"/>
    <m/>
  </r>
  <r>
    <n v="127"/>
    <s v="#5 @12&quot; TOP LW"/>
    <m/>
    <n v="12"/>
    <x v="3"/>
    <x v="1"/>
    <n v="29.83"/>
    <n v="373.35227999999995"/>
    <m/>
  </r>
  <r>
    <n v="128"/>
    <s v="#8 @10&quot; TOP LW"/>
    <m/>
    <n v="14"/>
    <x v="1"/>
    <x v="1"/>
    <n v="20.880999999999997"/>
    <n v="780.5317799999998"/>
    <m/>
  </r>
  <r>
    <n v="129"/>
    <s v="#9 @10&quot; TOP LW"/>
    <m/>
    <n v="14"/>
    <x v="5"/>
    <x v="3"/>
    <n v="40"/>
    <n v="1904"/>
    <m/>
  </r>
  <r>
    <n v="130"/>
    <s v="#9 @10&quot; TOP LW"/>
    <m/>
    <n v="14"/>
    <x v="5"/>
    <x v="1"/>
    <n v="6.0799999999999983"/>
    <n v="289.4079999999999"/>
    <m/>
  </r>
  <r>
    <n v="131"/>
    <s v="#5 @12&quot; TOP LW"/>
    <m/>
    <n v="12"/>
    <x v="3"/>
    <x v="1"/>
    <n v="35.17"/>
    <n v="440.18772000000001"/>
    <m/>
  </r>
  <r>
    <n v="132"/>
    <s v="#9 @6&quot; TOP LW"/>
    <m/>
    <n v="10"/>
    <x v="5"/>
    <x v="1"/>
    <n v="19.829999999999998"/>
    <n v="674.22"/>
    <m/>
  </r>
  <r>
    <n v="133"/>
    <s v="#6 @12&quot; TOP LW"/>
    <m/>
    <n v="6"/>
    <x v="2"/>
    <x v="1"/>
    <n v="11.83"/>
    <n v="106.61196000000001"/>
    <m/>
  </r>
  <r>
    <n v="134"/>
    <s v="#6 @12&quot; TOP LW"/>
    <m/>
    <n v="6"/>
    <x v="2"/>
    <x v="1"/>
    <n v="8"/>
    <n v="72.096000000000004"/>
    <m/>
  </r>
  <r>
    <n v="135"/>
    <s v="MID STRIP"/>
    <m/>
    <m/>
    <x v="0"/>
    <x v="0"/>
    <m/>
    <n v="0"/>
    <m/>
  </r>
  <r>
    <n v="136"/>
    <s v="#5 @12&quot; TOP LW"/>
    <m/>
    <n v="5"/>
    <x v="3"/>
    <x v="1"/>
    <n v="24.83"/>
    <n v="129.48845"/>
    <m/>
  </r>
  <r>
    <n v="137"/>
    <s v="#5 @12&quot; TOP LW"/>
    <m/>
    <n v="4"/>
    <x v="3"/>
    <x v="1"/>
    <n v="5"/>
    <n v="20.86"/>
    <m/>
  </r>
  <r>
    <n v="138"/>
    <s v="#8 @12&quot; TOP LW"/>
    <m/>
    <n v="4"/>
    <x v="1"/>
    <x v="2"/>
    <n v="5.9169999999999998"/>
    <n v="63.193559999999998"/>
    <m/>
  </r>
  <r>
    <n v="139"/>
    <s v="#5 @12&quot; TOP LW"/>
    <m/>
    <n v="8"/>
    <x v="3"/>
    <x v="1"/>
    <n v="14.835000000000001"/>
    <n v="123.78323999999999"/>
    <m/>
  </r>
  <r>
    <n v="140"/>
    <s v="#5 @12&quot; TOP LW"/>
    <m/>
    <n v="8"/>
    <x v="3"/>
    <x v="1"/>
    <n v="14.25"/>
    <n v="118.90199999999999"/>
    <m/>
  </r>
  <r>
    <n v="141"/>
    <s v="#6 @10&quot; TOP LW"/>
    <m/>
    <n v="11"/>
    <x v="2"/>
    <x v="1"/>
    <n v="8.1675000000000004"/>
    <n v="134.94343499999999"/>
    <m/>
  </r>
  <r>
    <n v="142"/>
    <s v="#5 @12&quot; TOP LW"/>
    <m/>
    <n v="8"/>
    <x v="3"/>
    <x v="1"/>
    <n v="7"/>
    <n v="58.407999999999994"/>
    <m/>
  </r>
  <r>
    <n v="143"/>
    <s v="#5 @12&quot; TOP LW"/>
    <m/>
    <n v="4"/>
    <x v="3"/>
    <x v="1"/>
    <n v="34"/>
    <n v="141.84799999999998"/>
    <m/>
  </r>
  <r>
    <n v="144"/>
    <s v="#8 @12&quot; TOP LW"/>
    <m/>
    <n v="7"/>
    <x v="1"/>
    <x v="1"/>
    <n v="16.829999999999998"/>
    <n v="314.55269999999996"/>
    <m/>
  </r>
  <r>
    <n v="145"/>
    <s v="#6 @12&quot; TOP LW"/>
    <m/>
    <n v="12"/>
    <x v="2"/>
    <x v="1"/>
    <n v="11.83"/>
    <n v="213.22392000000002"/>
    <m/>
  </r>
  <r>
    <n v="146"/>
    <s v="#6 @12&quot; TOP LW"/>
    <m/>
    <n v="12"/>
    <x v="2"/>
    <x v="1"/>
    <n v="8"/>
    <n v="144.19200000000001"/>
    <m/>
  </r>
  <r>
    <n v="147"/>
    <s v="COLUMN STRIP"/>
    <m/>
    <m/>
    <x v="0"/>
    <x v="0"/>
    <m/>
    <n v="0"/>
    <m/>
  </r>
  <r>
    <n v="148"/>
    <s v="#5 @12&quot; TOP LW"/>
    <m/>
    <n v="4"/>
    <x v="3"/>
    <x v="1"/>
    <n v="7"/>
    <n v="29.203999999999997"/>
    <m/>
  </r>
  <r>
    <n v="149"/>
    <s v="#6 @12&quot; TOP LW"/>
    <m/>
    <n v="6"/>
    <x v="2"/>
    <x v="1"/>
    <n v="7"/>
    <n v="63.083999999999996"/>
    <m/>
  </r>
  <r>
    <n v="150"/>
    <s v="#9 @6&quot; TOP LW"/>
    <m/>
    <n v="19"/>
    <x v="5"/>
    <x v="1"/>
    <n v="20.824999999999999"/>
    <n v="1345.2949999999998"/>
    <m/>
  </r>
  <r>
    <n v="151"/>
    <s v="#8 @10&quot; TOP LW"/>
    <m/>
    <n v="12"/>
    <x v="1"/>
    <x v="1"/>
    <n v="20.824999999999999"/>
    <n v="667.23299999999995"/>
    <m/>
  </r>
  <r>
    <n v="152"/>
    <s v="#5 @10&quot; TOP LW"/>
    <m/>
    <n v="12"/>
    <x v="3"/>
    <x v="1"/>
    <n v="16.974999999999998"/>
    <n v="212.45909999999995"/>
    <m/>
  </r>
  <r>
    <n v="153"/>
    <s v="#9 @10&quot; TOP LW"/>
    <m/>
    <n v="12"/>
    <x v="5"/>
    <x v="1"/>
    <n v="21"/>
    <n v="856.8"/>
    <m/>
  </r>
  <r>
    <n v="154"/>
    <s v="#6 @12&quot; TOP LW"/>
    <m/>
    <n v="10"/>
    <x v="2"/>
    <x v="1"/>
    <n v="10.83"/>
    <n v="162.66660000000002"/>
    <m/>
  </r>
  <r>
    <n v="155"/>
    <s v="#5 @12&quot; TOP LW"/>
    <m/>
    <n v="10"/>
    <x v="3"/>
    <x v="1"/>
    <n v="31.58"/>
    <n v="329.37939999999998"/>
    <m/>
  </r>
  <r>
    <n v="156"/>
    <s v="#6 @12&quot; TOP LW"/>
    <m/>
    <n v="10"/>
    <x v="2"/>
    <x v="1"/>
    <n v="11.83"/>
    <n v="177.6866"/>
    <m/>
  </r>
  <r>
    <n v="157"/>
    <s v="#6 @12&quot; TOP LW"/>
    <m/>
    <n v="10"/>
    <x v="2"/>
    <x v="1"/>
    <n v="8"/>
    <n v="120.16"/>
    <m/>
  </r>
  <r>
    <n v="158"/>
    <s v="MID STRIP"/>
    <m/>
    <m/>
    <x v="0"/>
    <x v="0"/>
    <m/>
    <n v="0"/>
    <m/>
  </r>
  <r>
    <n v="159"/>
    <s v="#6 @12&quot; TOP LW"/>
    <m/>
    <n v="11"/>
    <x v="2"/>
    <x v="1"/>
    <n v="4.875"/>
    <n v="80.544750000000008"/>
    <m/>
  </r>
  <r>
    <n v="160"/>
    <s v="#8 @12&quot; TOP LW"/>
    <m/>
    <n v="11"/>
    <x v="1"/>
    <x v="1"/>
    <n v="15"/>
    <n v="440.54999999999995"/>
    <m/>
  </r>
  <r>
    <n v="161"/>
    <s v="#6 @12&quot; TOP LW"/>
    <m/>
    <n v="11"/>
    <x v="2"/>
    <x v="1"/>
    <n v="15"/>
    <n v="247.83"/>
    <m/>
  </r>
  <r>
    <n v="162"/>
    <s v="#5 @12&quot; TOP LW"/>
    <m/>
    <n v="11"/>
    <x v="3"/>
    <x v="1"/>
    <n v="12.29"/>
    <n v="141.00316999999998"/>
    <m/>
  </r>
  <r>
    <n v="163"/>
    <s v="#6 @10&quot; TOP LW"/>
    <m/>
    <n v="11"/>
    <x v="2"/>
    <x v="1"/>
    <n v="15.375"/>
    <n v="254.02575000000002"/>
    <m/>
  </r>
  <r>
    <n v="164"/>
    <s v="#5 @12&quot; TOP LW"/>
    <m/>
    <n v="8"/>
    <x v="3"/>
    <x v="1"/>
    <n v="7.6875"/>
    <n v="64.144499999999994"/>
    <m/>
  </r>
  <r>
    <n v="165"/>
    <s v="COLUMN STRIP"/>
    <m/>
    <m/>
    <x v="0"/>
    <x v="0"/>
    <m/>
    <n v="0"/>
    <m/>
  </r>
  <r>
    <n v="166"/>
    <s v="#6 @12&quot; TOP LW"/>
    <m/>
    <n v="11"/>
    <x v="2"/>
    <x v="1"/>
    <n v="6.7654999999999994"/>
    <n v="111.779591"/>
    <m/>
  </r>
  <r>
    <n v="167"/>
    <s v="#9 @6&quot; TOP LW"/>
    <m/>
    <n v="22"/>
    <x v="5"/>
    <x v="1"/>
    <n v="22.049999999999997"/>
    <n v="1649.3399999999997"/>
    <m/>
  </r>
  <r>
    <n v="168"/>
    <s v="#5 @12&quot; TOP LW"/>
    <m/>
    <n v="11"/>
    <x v="3"/>
    <x v="1"/>
    <n v="31.5"/>
    <n v="361.39949999999993"/>
    <m/>
  </r>
  <r>
    <n v="169"/>
    <s v="#8 @10&quot; TOP LW"/>
    <m/>
    <n v="14"/>
    <x v="1"/>
    <x v="1"/>
    <n v="22.049999999999997"/>
    <n v="824.22899999999993"/>
    <m/>
  </r>
  <r>
    <n v="170"/>
    <s v="#6 @12&quot; TOP LW"/>
    <m/>
    <n v="11"/>
    <x v="2"/>
    <x v="1"/>
    <n v="18.2"/>
    <n v="300.70039999999995"/>
    <m/>
  </r>
  <r>
    <n v="171"/>
    <s v="#8 @10&quot; TOP LW"/>
    <m/>
    <n v="14"/>
    <x v="1"/>
    <x v="1"/>
    <n v="21.230999999999998"/>
    <n v="793.61477999999988"/>
    <m/>
  </r>
  <r>
    <n v="172"/>
    <s v="#5 @12&quot; TOP LW"/>
    <m/>
    <n v="11"/>
    <x v="3"/>
    <x v="1"/>
    <n v="30"/>
    <n v="344.19"/>
    <m/>
  </r>
  <r>
    <n v="173"/>
    <s v="#7 @12&quot; TOP LW"/>
    <m/>
    <n v="11"/>
    <x v="4"/>
    <x v="1"/>
    <n v="21"/>
    <n v="472.16399999999999"/>
    <m/>
  </r>
  <r>
    <n v="174"/>
    <s v="#6 @12&quot; TOP LW"/>
    <m/>
    <n v="11"/>
    <x v="2"/>
    <x v="1"/>
    <n v="37.83"/>
    <n v="625.02725999999996"/>
    <m/>
  </r>
  <r>
    <n v="175"/>
    <s v="#5 @12&quot; TOP LW"/>
    <m/>
    <n v="7"/>
    <x v="3"/>
    <x v="1"/>
    <n v="6.0374999999999996"/>
    <n v="44.079787499999995"/>
    <m/>
  </r>
  <r>
    <n v="176"/>
    <s v="MID STRIP"/>
    <m/>
    <m/>
    <x v="0"/>
    <x v="0"/>
    <m/>
    <n v="0"/>
    <m/>
  </r>
  <r>
    <n v="177"/>
    <s v="#5 @12&quot; TOP LW"/>
    <m/>
    <n v="12"/>
    <x v="3"/>
    <x v="1"/>
    <n v="4.6875"/>
    <n v="58.668749999999996"/>
    <m/>
  </r>
  <r>
    <n v="178"/>
    <s v="#6 @12&quot; TOP LW"/>
    <m/>
    <n v="12"/>
    <x v="2"/>
    <x v="1"/>
    <n v="15.79"/>
    <n v="284.59896000000003"/>
    <m/>
  </r>
  <r>
    <n v="179"/>
    <s v="#5 @12&quot; TOP LW"/>
    <m/>
    <n v="12"/>
    <x v="3"/>
    <x v="1"/>
    <n v="31.33"/>
    <n v="392.12627999999995"/>
    <m/>
  </r>
  <r>
    <n v="180"/>
    <s v="#5 @12&quot; TOP LW"/>
    <m/>
    <n v="12"/>
    <x v="3"/>
    <x v="1"/>
    <n v="15.79"/>
    <n v="197.62763999999999"/>
    <m/>
  </r>
  <r>
    <n v="181"/>
    <s v="#5 @12&quot; TOP LW"/>
    <m/>
    <n v="12"/>
    <x v="3"/>
    <x v="1"/>
    <n v="12.835000000000001"/>
    <n v="160.64286000000001"/>
    <m/>
  </r>
  <r>
    <n v="182"/>
    <s v="#5 @12&quot; TOP LW"/>
    <m/>
    <n v="12"/>
    <x v="3"/>
    <x v="1"/>
    <n v="15.085000000000001"/>
    <n v="188.80386000000001"/>
    <m/>
  </r>
  <r>
    <n v="183"/>
    <s v="#5 @12&quot; TOP LW"/>
    <m/>
    <n v="12"/>
    <x v="3"/>
    <x v="1"/>
    <n v="29.83"/>
    <n v="373.35227999999995"/>
    <m/>
  </r>
  <r>
    <n v="184"/>
    <s v="#6 @12&quot; TOP LW"/>
    <m/>
    <n v="14"/>
    <x v="2"/>
    <x v="1"/>
    <n v="32.17"/>
    <n v="676.47076000000004"/>
    <m/>
  </r>
  <r>
    <n v="185"/>
    <s v="#5 @12&quot; TOP LW"/>
    <m/>
    <n v="14"/>
    <x v="3"/>
    <x v="1"/>
    <n v="4.4375"/>
    <n v="64.796374999999998"/>
    <m/>
  </r>
  <r>
    <n v="186"/>
    <s v="EDGE STRIP (GRID A/1-8)"/>
    <m/>
    <m/>
    <x v="0"/>
    <x v="0"/>
    <m/>
    <n v="0"/>
    <m/>
  </r>
  <r>
    <n v="187"/>
    <s v="#6 @12&quot; TOP LW"/>
    <m/>
    <n v="7"/>
    <x v="2"/>
    <x v="1"/>
    <n v="6.3"/>
    <n v="66.238200000000006"/>
    <m/>
  </r>
  <r>
    <n v="188"/>
    <s v="#6 @12&quot; TOP LW"/>
    <m/>
    <n v="7"/>
    <x v="2"/>
    <x v="1"/>
    <n v="22.049999999999997"/>
    <n v="231.83369999999996"/>
    <m/>
  </r>
  <r>
    <n v="189"/>
    <s v="#5 @12&quot; TOP LW"/>
    <m/>
    <n v="13"/>
    <x v="3"/>
    <x v="1"/>
    <n v="31.25"/>
    <n v="423.71875"/>
    <m/>
  </r>
  <r>
    <n v="190"/>
    <s v="#9 @10&quot; TOP LW"/>
    <m/>
    <n v="8"/>
    <x v="5"/>
    <x v="1"/>
    <n v="22.049999999999997"/>
    <n v="599.75999999999988"/>
    <m/>
  </r>
  <r>
    <n v="191"/>
    <s v="#6 @12&quot; TOP LW"/>
    <m/>
    <n v="8"/>
    <x v="2"/>
    <x v="1"/>
    <n v="18.2"/>
    <n v="218.69119999999998"/>
    <m/>
  </r>
  <r>
    <n v="192"/>
    <s v="#8 @10&quot; TOP LW"/>
    <m/>
    <n v="14"/>
    <x v="1"/>
    <x v="1"/>
    <n v="21.230999999999998"/>
    <n v="793.61477999999988"/>
    <m/>
  </r>
  <r>
    <n v="193"/>
    <s v="#5 @12&quot; TOP LW"/>
    <m/>
    <n v="11"/>
    <x v="3"/>
    <x v="1"/>
    <n v="30"/>
    <n v="344.19"/>
    <m/>
  </r>
  <r>
    <n v="194"/>
    <s v="#7 @12&quot; TOP LW"/>
    <m/>
    <n v="11"/>
    <x v="4"/>
    <x v="1"/>
    <n v="21"/>
    <n v="472.16399999999999"/>
    <m/>
  </r>
  <r>
    <n v="195"/>
    <s v="#6 @12&quot; TOP LW"/>
    <m/>
    <n v="11"/>
    <x v="2"/>
    <x v="1"/>
    <n v="37.83"/>
    <n v="625.02725999999996"/>
    <m/>
  </r>
  <r>
    <n v="196"/>
    <s v="#5 @12&quot; TOP LW"/>
    <m/>
    <n v="7"/>
    <x v="3"/>
    <x v="1"/>
    <n v="6.0374999999999996"/>
    <n v="44.079787499999995"/>
    <m/>
  </r>
  <r>
    <n v="197"/>
    <s v="#4 @48 &quot; STANDEES"/>
    <m/>
    <n v="916"/>
    <x v="6"/>
    <x v="2"/>
    <n v="4.91"/>
    <n v="3004.3700800000001"/>
    <m/>
  </r>
  <r>
    <n v="198"/>
    <s v="#4 @48 &quot; STANDEES"/>
    <m/>
    <n v="121"/>
    <x v="6"/>
    <x v="2"/>
    <n v="5.16"/>
    <n v="417.07248000000004"/>
    <m/>
  </r>
  <r>
    <n v="199"/>
    <s v="13&quot; THK CONC DECK-(N-S DIR) (BOT SW) "/>
    <m/>
    <m/>
    <x v="0"/>
    <x v="0"/>
    <m/>
    <n v="0"/>
    <m/>
  </r>
  <r>
    <n v="200"/>
    <s v="EDGE STRIP(GRID A-F/7)"/>
    <m/>
    <m/>
    <x v="0"/>
    <x v="0"/>
    <m/>
    <n v="0"/>
    <m/>
  </r>
  <r>
    <n v="201"/>
    <s v="#5 @12&quot; BOT SW"/>
    <m/>
    <n v="8"/>
    <x v="3"/>
    <x v="1"/>
    <n v="18.834000000000003"/>
    <n v="157.15089600000002"/>
    <m/>
  </r>
  <r>
    <n v="202"/>
    <s v="#7 @12&quot; BOT SW"/>
    <m/>
    <n v="8"/>
    <x v="4"/>
    <x v="1"/>
    <n v="31.663999999999998"/>
    <n v="517.76972799999999"/>
    <m/>
  </r>
  <r>
    <n v="203"/>
    <s v="#5 @12&quot; BOT SW"/>
    <m/>
    <n v="8"/>
    <x v="3"/>
    <x v="1"/>
    <n v="17.75"/>
    <n v="148.10599999999999"/>
    <m/>
  </r>
  <r>
    <n v="204"/>
    <s v="#6 @12&quot; BOT SW"/>
    <m/>
    <n v="8"/>
    <x v="2"/>
    <x v="1"/>
    <n v="23.167000000000002"/>
    <n v="278.37467200000003"/>
    <m/>
  </r>
  <r>
    <n v="205"/>
    <s v="#5 @10&quot; BOT SW"/>
    <m/>
    <n v="10"/>
    <x v="3"/>
    <x v="1"/>
    <n v="24.67"/>
    <n v="257.30810000000002"/>
    <m/>
  </r>
  <r>
    <n v="206"/>
    <s v="MID STRIP"/>
    <m/>
    <m/>
    <x v="0"/>
    <x v="0"/>
    <m/>
    <n v="0"/>
    <m/>
  </r>
  <r>
    <n v="207"/>
    <s v="#5 @12&quot; BOT SW"/>
    <m/>
    <n v="15"/>
    <x v="3"/>
    <x v="1"/>
    <n v="17.670000000000002"/>
    <n v="276.44715000000002"/>
    <m/>
  </r>
  <r>
    <n v="208"/>
    <s v="#6 @12&quot; BOT SW"/>
    <m/>
    <n v="15"/>
    <x v="2"/>
    <x v="1"/>
    <n v="29.25"/>
    <n v="659.00250000000005"/>
    <m/>
  </r>
  <r>
    <n v="209"/>
    <s v="#5 @12&quot; BOT SW"/>
    <m/>
    <n v="15"/>
    <x v="3"/>
    <x v="1"/>
    <n v="17.329999999999998"/>
    <n v="271.12784999999991"/>
    <m/>
  </r>
  <r>
    <n v="210"/>
    <s v="#6 @12&quot; BOT SW"/>
    <m/>
    <n v="16"/>
    <x v="2"/>
    <x v="1"/>
    <n v="19.579999999999998"/>
    <n v="470.54655999999994"/>
    <m/>
  </r>
  <r>
    <n v="211"/>
    <s v="#6 @12&quot; BOT SW"/>
    <m/>
    <n v="16"/>
    <x v="2"/>
    <x v="1"/>
    <n v="29.5"/>
    <n v="708.94399999999996"/>
    <m/>
  </r>
  <r>
    <n v="212"/>
    <s v="COLUMN STRIP(GRID A-F/6)"/>
    <m/>
    <m/>
    <x v="0"/>
    <x v="0"/>
    <m/>
    <n v="0"/>
    <m/>
  </r>
  <r>
    <n v="213"/>
    <s v="#6 @12&quot; BOT SW"/>
    <m/>
    <n v="15"/>
    <x v="2"/>
    <x v="1"/>
    <n v="17.917000000000002"/>
    <n v="403.67001000000005"/>
    <m/>
  </r>
  <r>
    <n v="214"/>
    <s v="#7 @12&quot; BOT SW"/>
    <m/>
    <n v="14"/>
    <x v="4"/>
    <x v="1"/>
    <n v="31.663999999999998"/>
    <n v="906.09702399999992"/>
    <m/>
  </r>
  <r>
    <n v="215"/>
    <s v="#5 @10&quot; BOT SW"/>
    <m/>
    <n v="18"/>
    <x v="3"/>
    <x v="1"/>
    <n v="19.25"/>
    <n v="361.39949999999999"/>
    <m/>
  </r>
  <r>
    <n v="216"/>
    <s v="#6 @12&quot; BOT SW"/>
    <m/>
    <n v="15"/>
    <x v="2"/>
    <x v="1"/>
    <n v="21.83"/>
    <n v="491.82990000000001"/>
    <m/>
  </r>
  <r>
    <n v="217"/>
    <s v="#7 @12&quot; BOT SW"/>
    <m/>
    <n v="15"/>
    <x v="4"/>
    <x v="1"/>
    <n v="24.334000000000003"/>
    <n v="746.08044000000007"/>
    <m/>
  </r>
  <r>
    <n v="218"/>
    <s v="MID STRIP"/>
    <m/>
    <m/>
    <x v="0"/>
    <x v="0"/>
    <m/>
    <n v="0"/>
    <m/>
  </r>
  <r>
    <n v="219"/>
    <s v="#5 @12&quot; BOT SW"/>
    <m/>
    <n v="15"/>
    <x v="3"/>
    <x v="1"/>
    <n v="18.75"/>
    <n v="293.34375"/>
    <m/>
  </r>
  <r>
    <n v="220"/>
    <s v="#6 @12&quot; BOT SW"/>
    <m/>
    <n v="15"/>
    <x v="2"/>
    <x v="1"/>
    <n v="31.25"/>
    <n v="704.0625"/>
    <m/>
  </r>
  <r>
    <n v="221"/>
    <s v="#5 @12&quot; BOT SW"/>
    <m/>
    <n v="15"/>
    <x v="3"/>
    <x v="1"/>
    <n v="18.916"/>
    <n v="295.94082000000003"/>
    <m/>
  </r>
  <r>
    <n v="222"/>
    <s v="#6 @12&quot; BOT SW"/>
    <m/>
    <n v="14"/>
    <x v="2"/>
    <x v="1"/>
    <n v="21.08"/>
    <n v="443.27023999999994"/>
    <m/>
  </r>
  <r>
    <n v="223"/>
    <s v="#6 @12&quot; BOT SW"/>
    <m/>
    <n v="13"/>
    <x v="2"/>
    <x v="1"/>
    <n v="23.587000000000003"/>
    <n v="460.55976200000003"/>
    <m/>
  </r>
  <r>
    <n v="224"/>
    <s v="COLUMN STRIP(GRID A-F/5)"/>
    <m/>
    <m/>
    <x v="0"/>
    <x v="0"/>
    <m/>
    <n v="0"/>
    <m/>
  </r>
  <r>
    <n v="225"/>
    <s v="#6 @12&quot; BOT SW"/>
    <m/>
    <n v="14"/>
    <x v="2"/>
    <x v="1"/>
    <n v="18.917000000000002"/>
    <n v="397.78667600000006"/>
    <m/>
  </r>
  <r>
    <n v="226"/>
    <s v="#7 @12&quot; BOT SW"/>
    <m/>
    <n v="13"/>
    <x v="4"/>
    <x v="1"/>
    <n v="31.663999999999998"/>
    <n v="841.37580800000001"/>
    <m/>
  </r>
  <r>
    <n v="227"/>
    <s v="#5 @10&quot; BOT SW"/>
    <m/>
    <n v="15"/>
    <x v="3"/>
    <x v="1"/>
    <n v="19.25"/>
    <n v="301.16624999999999"/>
    <m/>
  </r>
  <r>
    <n v="228"/>
    <s v="#6 @12&quot; BOT SW"/>
    <m/>
    <n v="12"/>
    <x v="2"/>
    <x v="1"/>
    <n v="21.83"/>
    <n v="393.46392000000003"/>
    <m/>
  </r>
  <r>
    <n v="229"/>
    <s v="#7 @12&quot; BOT SW"/>
    <m/>
    <n v="12"/>
    <x v="4"/>
    <x v="1"/>
    <n v="24.334000000000003"/>
    <n v="596.86435200000005"/>
    <m/>
  </r>
  <r>
    <n v="230"/>
    <s v="MID STRIP"/>
    <m/>
    <m/>
    <x v="0"/>
    <x v="0"/>
    <m/>
    <n v="0"/>
    <m/>
  </r>
  <r>
    <n v="231"/>
    <s v="#5 @12&quot; BOT SW"/>
    <m/>
    <n v="14"/>
    <x v="3"/>
    <x v="1"/>
    <n v="18.75"/>
    <n v="273.78749999999997"/>
    <m/>
  </r>
  <r>
    <n v="232"/>
    <s v="#6 @12&quot; BOT SW"/>
    <m/>
    <n v="13"/>
    <x v="2"/>
    <x v="1"/>
    <n v="31.33"/>
    <n v="611.74957999999992"/>
    <m/>
  </r>
  <r>
    <n v="233"/>
    <s v="#5 @12&quot; BOT SW"/>
    <m/>
    <n v="10"/>
    <x v="3"/>
    <x v="1"/>
    <n v="18.916"/>
    <n v="197.29388"/>
    <m/>
  </r>
  <r>
    <n v="234"/>
    <s v="#6 @12&quot; BOT SW"/>
    <m/>
    <n v="10"/>
    <x v="2"/>
    <x v="1"/>
    <n v="21.17"/>
    <n v="317.97340000000003"/>
    <m/>
  </r>
  <r>
    <n v="235"/>
    <s v="#6 @12&quot; BOT SW"/>
    <m/>
    <n v="10"/>
    <x v="2"/>
    <x v="1"/>
    <n v="23.67"/>
    <n v="355.52340000000004"/>
    <m/>
  </r>
  <r>
    <n v="236"/>
    <s v="COLUMN STRIP(GRID A-F/4)"/>
    <m/>
    <m/>
    <x v="0"/>
    <x v="0"/>
    <m/>
    <n v="0"/>
    <m/>
  </r>
  <r>
    <n v="237"/>
    <s v="#6 @12&quot; BOT SW"/>
    <m/>
    <n v="12"/>
    <x v="2"/>
    <x v="1"/>
    <n v="18.747"/>
    <n v="337.89592799999997"/>
    <m/>
  </r>
  <r>
    <n v="238"/>
    <s v="#7 @12&quot; BOT SW"/>
    <m/>
    <n v="14"/>
    <x v="4"/>
    <x v="1"/>
    <n v="31.663999999999998"/>
    <n v="906.09702399999992"/>
    <m/>
  </r>
  <r>
    <n v="239"/>
    <s v="#5 @10&quot; BOT SW"/>
    <m/>
    <n v="16"/>
    <x v="3"/>
    <x v="1"/>
    <n v="19.5"/>
    <n v="325.416"/>
    <m/>
  </r>
  <r>
    <n v="240"/>
    <s v="#6 @12&quot; BOT SW"/>
    <m/>
    <n v="15"/>
    <x v="2"/>
    <x v="1"/>
    <n v="21.67"/>
    <n v="488.22510000000005"/>
    <m/>
  </r>
  <r>
    <n v="241"/>
    <s v="#7 @12&quot; BOT SW"/>
    <m/>
    <n v="15"/>
    <x v="4"/>
    <x v="1"/>
    <n v="24.334000000000003"/>
    <n v="746.08044000000007"/>
    <m/>
  </r>
  <r>
    <n v="242"/>
    <s v="MID STRIP"/>
    <m/>
    <m/>
    <x v="0"/>
    <x v="0"/>
    <m/>
    <n v="0"/>
    <m/>
  </r>
  <r>
    <n v="243"/>
    <s v="#5 @12&quot; BOT SW"/>
    <m/>
    <n v="15"/>
    <x v="3"/>
    <x v="1"/>
    <n v="18.75"/>
    <n v="293.34375"/>
    <m/>
  </r>
  <r>
    <n v="244"/>
    <s v="#5 @10&quot; BOT SW"/>
    <m/>
    <n v="19"/>
    <x v="3"/>
    <x v="1"/>
    <n v="31.33"/>
    <n v="620.86660999999992"/>
    <m/>
  </r>
  <r>
    <n v="245"/>
    <s v="#5 @12&quot; BOT SW"/>
    <m/>
    <n v="17"/>
    <x v="3"/>
    <x v="1"/>
    <n v="18.916"/>
    <n v="335.39959599999997"/>
    <m/>
  </r>
  <r>
    <n v="246"/>
    <s v="#5 @12&quot; BOT SW"/>
    <m/>
    <n v="17"/>
    <x v="3"/>
    <x v="1"/>
    <n v="21.17"/>
    <n v="375.36527000000001"/>
    <m/>
  </r>
  <r>
    <n v="247"/>
    <s v="#6 @10&quot; BOT SW"/>
    <m/>
    <n v="18"/>
    <x v="2"/>
    <x v="1"/>
    <n v="23.67"/>
    <n v="639.94212000000005"/>
    <m/>
  </r>
  <r>
    <n v="248"/>
    <s v="COLUMN STRIP(GRID A-F/3)"/>
    <m/>
    <m/>
    <x v="0"/>
    <x v="0"/>
    <m/>
    <n v="0"/>
    <m/>
  </r>
  <r>
    <n v="249"/>
    <s v="#5 @12&quot; BOT SW"/>
    <m/>
    <n v="8"/>
    <x v="3"/>
    <x v="1"/>
    <n v="18.917000000000002"/>
    <n v="157.843448"/>
    <m/>
  </r>
  <r>
    <n v="250"/>
    <s v="#6 @12&quot; BOT SW"/>
    <m/>
    <n v="9"/>
    <x v="2"/>
    <x v="1"/>
    <n v="27.5"/>
    <n v="371.745"/>
    <m/>
  </r>
  <r>
    <n v="251"/>
    <s v="#5 @12&quot; BOT SW"/>
    <m/>
    <n v="8"/>
    <x v="3"/>
    <x v="1"/>
    <n v="23.167000000000002"/>
    <n v="193.30544800000001"/>
    <m/>
  </r>
  <r>
    <n v="252"/>
    <s v="#5 @10&quot; BOT SW"/>
    <m/>
    <n v="9"/>
    <x v="3"/>
    <x v="1"/>
    <n v="17.25"/>
    <n v="161.92574999999999"/>
    <m/>
  </r>
  <r>
    <n v="253"/>
    <s v="#7 @10&quot; BOT SW"/>
    <m/>
    <n v="10"/>
    <x v="4"/>
    <x v="1"/>
    <n v="28.834000000000003"/>
    <n v="589.36696000000006"/>
    <m/>
  </r>
  <r>
    <n v="254"/>
    <s v="MID STRIP"/>
    <m/>
    <m/>
    <x v="0"/>
    <x v="0"/>
    <m/>
    <n v="0"/>
    <m/>
  </r>
  <r>
    <n v="255"/>
    <s v="#5 @12&quot; BOT SW"/>
    <m/>
    <n v="14"/>
    <x v="3"/>
    <x v="1"/>
    <n v="17.256"/>
    <n v="251.97211199999998"/>
    <m/>
  </r>
  <r>
    <n v="256"/>
    <s v="#5 @12&quot; BOT SW"/>
    <m/>
    <n v="20"/>
    <x v="3"/>
    <x v="1"/>
    <n v="10.59"/>
    <n v="220.90739999999997"/>
    <m/>
  </r>
  <r>
    <n v="257"/>
    <s v="#5 @12&quot; BOT SW"/>
    <m/>
    <n v="8"/>
    <x v="3"/>
    <x v="1"/>
    <n v="21.007000000000001"/>
    <n v="175.282408"/>
    <m/>
  </r>
  <r>
    <n v="258"/>
    <s v="#8 @10&quot; BOT SW"/>
    <m/>
    <n v="18"/>
    <x v="1"/>
    <x v="1"/>
    <n v="34.007000000000005"/>
    <n v="1634.3764200000001"/>
    <m/>
  </r>
  <r>
    <n v="259"/>
    <s v="4 #8 BOT SW"/>
    <m/>
    <n v="4"/>
    <x v="1"/>
    <x v="1"/>
    <n v="10.59"/>
    <n v="113.10119999999999"/>
    <m/>
  </r>
  <r>
    <n v="260"/>
    <s v="COLUMN STRIP(GRID A-F/2)"/>
    <m/>
    <m/>
    <x v="0"/>
    <x v="0"/>
    <m/>
    <n v="0"/>
    <m/>
  </r>
  <r>
    <n v="261"/>
    <s v="#5 @12&quot; BOT SW"/>
    <m/>
    <n v="20"/>
    <x v="3"/>
    <x v="1"/>
    <n v="29.34"/>
    <n v="612.03239999999994"/>
    <m/>
  </r>
  <r>
    <n v="262"/>
    <s v="#8 @10&quot; BOT SW"/>
    <m/>
    <n v="21"/>
    <x v="1"/>
    <x v="1"/>
    <n v="28.09"/>
    <n v="1575.0063"/>
    <m/>
  </r>
  <r>
    <n v="263"/>
    <s v="#5 @12&quot; BOT SW"/>
    <m/>
    <n v="6"/>
    <x v="3"/>
    <x v="1"/>
    <n v="8.59"/>
    <n v="53.756219999999999"/>
    <m/>
  </r>
  <r>
    <n v="264"/>
    <s v="16&quot; THK CONC DECK-(N-S DIR) (BOT SW) "/>
    <m/>
    <m/>
    <x v="0"/>
    <x v="0"/>
    <m/>
    <n v="0"/>
    <m/>
  </r>
  <r>
    <n v="265"/>
    <s v="EDGE STRIP(GRID A-F/7.1)"/>
    <m/>
    <m/>
    <x v="0"/>
    <x v="0"/>
    <m/>
    <n v="0"/>
    <m/>
  </r>
  <r>
    <n v="266"/>
    <s v="#9 @12&quot; BOT SW"/>
    <m/>
    <n v="20"/>
    <x v="5"/>
    <x v="1"/>
    <n v="24.917000000000002"/>
    <n v="1694.356"/>
    <m/>
  </r>
  <r>
    <n v="267"/>
    <s v="#8 @12&quot; BOT SW"/>
    <m/>
    <n v="20"/>
    <x v="1"/>
    <x v="1"/>
    <n v="23.999000000000002"/>
    <n v="1281.5466000000001"/>
    <m/>
  </r>
  <r>
    <n v="268"/>
    <s v="#6 @12&quot; BOT SW"/>
    <m/>
    <n v="13"/>
    <x v="2"/>
    <x v="1"/>
    <n v="18"/>
    <n v="351.46800000000002"/>
    <m/>
  </r>
  <r>
    <n v="269"/>
    <s v="#9 @12&quot; BOT SW"/>
    <m/>
    <n v="9"/>
    <x v="5"/>
    <x v="1"/>
    <n v="30.917000000000002"/>
    <n v="946.06020000000001"/>
    <m/>
  </r>
  <r>
    <n v="270"/>
    <s v="#5 @12&quot; BOT SW"/>
    <m/>
    <n v="9"/>
    <x v="3"/>
    <x v="1"/>
    <n v="5.7"/>
    <n v="53.505899999999997"/>
    <m/>
  </r>
  <r>
    <n v="271"/>
    <s v="MID STRIP"/>
    <m/>
    <m/>
    <x v="0"/>
    <x v="0"/>
    <m/>
    <n v="0"/>
    <m/>
  </r>
  <r>
    <n v="272"/>
    <s v="#5 @12&quot; BOT SW"/>
    <m/>
    <n v="8"/>
    <x v="3"/>
    <x v="1"/>
    <n v="6.25"/>
    <n v="52.15"/>
    <m/>
  </r>
  <r>
    <n v="273"/>
    <s v="#7 @12&quot; BOT SW"/>
    <m/>
    <n v="8"/>
    <x v="4"/>
    <x v="1"/>
    <n v="30.913999999999998"/>
    <n v="505.50572799999998"/>
    <m/>
  </r>
  <r>
    <n v="274"/>
    <s v="#5 @12&quot; BOT SW"/>
    <m/>
    <n v="8"/>
    <x v="3"/>
    <x v="1"/>
    <n v="10.087"/>
    <n v="84.165927999999994"/>
    <m/>
  </r>
  <r>
    <n v="275"/>
    <s v="COLUMN STRIP"/>
    <m/>
    <m/>
    <x v="0"/>
    <x v="0"/>
    <m/>
    <n v="0"/>
    <m/>
  </r>
  <r>
    <n v="276"/>
    <s v="#5 @12&quot; BOT SW"/>
    <m/>
    <n v="7"/>
    <x v="3"/>
    <x v="1"/>
    <n v="6.25"/>
    <n v="45.631250000000001"/>
    <m/>
  </r>
  <r>
    <n v="277"/>
    <s v="#8 @12&quot; BOT SW"/>
    <m/>
    <n v="7"/>
    <x v="1"/>
    <x v="1"/>
    <n v="31.411999999999999"/>
    <n v="587.09027999999989"/>
    <m/>
  </r>
  <r>
    <n v="278"/>
    <s v="#5 @12&quot; BOT SW"/>
    <m/>
    <n v="7"/>
    <x v="3"/>
    <x v="1"/>
    <n v="10.087"/>
    <n v="73.645186999999993"/>
    <m/>
  </r>
  <r>
    <n v="279"/>
    <s v="13&quot; THK CONC DECK-(N-S DIR) (TOP SW)"/>
    <m/>
    <m/>
    <x v="0"/>
    <x v="0"/>
    <m/>
    <n v="0"/>
    <m/>
  </r>
  <r>
    <n v="280"/>
    <s v="EDGE STRIP(GRID A-F/7)"/>
    <m/>
    <m/>
    <x v="0"/>
    <x v="0"/>
    <m/>
    <n v="0"/>
    <m/>
  </r>
  <r>
    <n v="281"/>
    <s v="#5 @12&quot; TOP SW"/>
    <m/>
    <n v="7"/>
    <x v="3"/>
    <x v="1"/>
    <n v="6.1844999999999999"/>
    <n v="45.15303449999999"/>
    <m/>
  </r>
  <r>
    <n v="282"/>
    <s v="#9 @12&quot; TOP SW"/>
    <m/>
    <n v="8"/>
    <x v="5"/>
    <x v="1"/>
    <n v="10.265499999999999"/>
    <n v="279.22159999999997"/>
    <m/>
  </r>
  <r>
    <n v="283"/>
    <s v="#9 @12&quot; TOP SW"/>
    <m/>
    <n v="8"/>
    <x v="5"/>
    <x v="1"/>
    <n v="10.265499999999999"/>
    <n v="279.22159999999997"/>
    <m/>
  </r>
  <r>
    <n v="284"/>
    <s v="#8 @10&quot; TOP SW"/>
    <m/>
    <n v="9"/>
    <x v="1"/>
    <x v="1"/>
    <n v="7.4084500000000002"/>
    <n v="178.02505350000001"/>
    <m/>
  </r>
  <r>
    <n v="285"/>
    <s v="#5 @12&quot; TOP SW"/>
    <m/>
    <n v="9"/>
    <x v="3"/>
    <x v="1"/>
    <n v="8.1374999999999993"/>
    <n v="76.386712499999987"/>
    <m/>
  </r>
  <r>
    <n v="286"/>
    <s v="MID STRIP"/>
    <m/>
    <m/>
    <x v="0"/>
    <x v="0"/>
    <m/>
    <n v="0"/>
    <m/>
  </r>
  <r>
    <n v="287"/>
    <s v="#5 @12&quot; TOP SW"/>
    <m/>
    <n v="15"/>
    <x v="3"/>
    <x v="1"/>
    <n v="4.4375"/>
    <n v="69.424687500000005"/>
    <m/>
  </r>
  <r>
    <n v="288"/>
    <s v="#6 @12&quot; TOP SW"/>
    <m/>
    <n v="15"/>
    <x v="2"/>
    <x v="1"/>
    <n v="7.3324999999999996"/>
    <n v="165.20122499999999"/>
    <m/>
  </r>
  <r>
    <n v="289"/>
    <s v="#6 @12&quot; TOP SW"/>
    <m/>
    <n v="15"/>
    <x v="2"/>
    <x v="1"/>
    <n v="7.3324999999999996"/>
    <n v="165.20122499999999"/>
    <m/>
  </r>
  <r>
    <n v="290"/>
    <s v="#6 @12&quot; TOP SW"/>
    <m/>
    <n v="15"/>
    <x v="2"/>
    <x v="1"/>
    <n v="4.9175000000000004"/>
    <n v="110.79127500000001"/>
    <m/>
  </r>
  <r>
    <n v="291"/>
    <s v="#6 @12&quot; TOP SW"/>
    <m/>
    <n v="16"/>
    <x v="2"/>
    <x v="1"/>
    <n v="5.8125"/>
    <n v="139.68600000000001"/>
    <m/>
  </r>
  <r>
    <n v="292"/>
    <s v="#5 @12&quot; TOP SW"/>
    <m/>
    <n v="16"/>
    <x v="3"/>
    <x v="1"/>
    <n v="5.8125"/>
    <n v="96.998999999999995"/>
    <m/>
  </r>
  <r>
    <n v="293"/>
    <s v="COLUMN STRIP(GRID A-F/6)"/>
    <m/>
    <m/>
    <x v="0"/>
    <x v="0"/>
    <m/>
    <n v="0"/>
    <m/>
  </r>
  <r>
    <n v="294"/>
    <s v="#5 @12&quot; TOP SW"/>
    <m/>
    <n v="15"/>
    <x v="3"/>
    <x v="1"/>
    <n v="6.2124999999999995"/>
    <n v="97.194562499999989"/>
    <m/>
  </r>
  <r>
    <n v="295"/>
    <s v="#9 @12&quot; TOP SW"/>
    <m/>
    <n v="15"/>
    <x v="5"/>
    <x v="1"/>
    <n v="10.265499999999999"/>
    <n v="523.54049999999995"/>
    <m/>
  </r>
  <r>
    <n v="296"/>
    <s v="#6 @12&quot; TOP SW"/>
    <m/>
    <n v="15"/>
    <x v="2"/>
    <x v="1"/>
    <n v="10.265499999999999"/>
    <n v="231.28171499999999"/>
    <m/>
  </r>
  <r>
    <n v="297"/>
    <s v="#5 @12&quot; TOP SW"/>
    <m/>
    <n v="15"/>
    <x v="3"/>
    <x v="1"/>
    <n v="6.8845000000000001"/>
    <n v="107.70800249999999"/>
    <m/>
  </r>
  <r>
    <n v="298"/>
    <s v="#8 @12&quot; TOP SW"/>
    <m/>
    <n v="15"/>
    <x v="1"/>
    <x v="1"/>
    <n v="8.1654999999999998"/>
    <n v="327.02827500000001"/>
    <m/>
  </r>
  <r>
    <n v="299"/>
    <s v="#5 @12&quot; TOP SW"/>
    <m/>
    <n v="15"/>
    <x v="3"/>
    <x v="1"/>
    <n v="8.1654999999999998"/>
    <n v="127.7492475"/>
    <m/>
  </r>
  <r>
    <n v="300"/>
    <s v="MID STRIP"/>
    <m/>
    <m/>
    <x v="0"/>
    <x v="0"/>
    <m/>
    <n v="0"/>
    <m/>
  </r>
  <r>
    <n v="301"/>
    <s v="#5 @12&quot; TOP SW"/>
    <m/>
    <n v="14"/>
    <x v="3"/>
    <x v="1"/>
    <n v="4.4375"/>
    <n v="64.796374999999998"/>
    <m/>
  </r>
  <r>
    <n v="302"/>
    <s v="#6 @12&quot; TOP SW"/>
    <m/>
    <n v="14"/>
    <x v="2"/>
    <x v="1"/>
    <n v="7.3324999999999996"/>
    <n v="154.18781000000001"/>
    <m/>
  </r>
  <r>
    <n v="303"/>
    <s v="#6 @12&quot; TOP SW"/>
    <m/>
    <n v="14"/>
    <x v="2"/>
    <x v="1"/>
    <n v="7.3324999999999996"/>
    <n v="154.18781000000001"/>
    <m/>
  </r>
  <r>
    <n v="304"/>
    <s v="#6 @12&quot; TOP SW"/>
    <m/>
    <n v="14"/>
    <x v="2"/>
    <x v="1"/>
    <n v="4.9175000000000004"/>
    <n v="103.40519"/>
    <m/>
  </r>
  <r>
    <n v="305"/>
    <s v="#6 @12&quot; TOP SW"/>
    <m/>
    <n v="14"/>
    <x v="2"/>
    <x v="1"/>
    <n v="5.8125"/>
    <n v="122.22525"/>
    <m/>
  </r>
  <r>
    <n v="306"/>
    <s v="#5 @12&quot; TOP SW"/>
    <m/>
    <n v="14"/>
    <x v="3"/>
    <x v="1"/>
    <n v="5.8125"/>
    <n v="84.874124999999992"/>
    <m/>
  </r>
  <r>
    <n v="307"/>
    <s v="COLUMN STRIP(GRID A-F/5)"/>
    <m/>
    <m/>
    <x v="0"/>
    <x v="0"/>
    <m/>
    <n v="0"/>
    <m/>
  </r>
  <r>
    <n v="308"/>
    <s v="#5 @12&quot; TOP SW"/>
    <m/>
    <n v="14"/>
    <x v="3"/>
    <x v="1"/>
    <n v="6.2124999999999995"/>
    <n v="90.714924999999994"/>
    <m/>
  </r>
  <r>
    <n v="309"/>
    <s v="#9 @12&quot; TOP SW"/>
    <m/>
    <n v="14"/>
    <x v="5"/>
    <x v="1"/>
    <n v="10.265499999999999"/>
    <n v="488.63779999999997"/>
    <m/>
  </r>
  <r>
    <n v="310"/>
    <s v="#6 @12&quot; TOP SW"/>
    <m/>
    <n v="13"/>
    <x v="2"/>
    <x v="1"/>
    <n v="10.265499999999999"/>
    <n v="200.444153"/>
    <m/>
  </r>
  <r>
    <n v="311"/>
    <s v="#5 @12&quot; TOP SW"/>
    <m/>
    <n v="12"/>
    <x v="3"/>
    <x v="1"/>
    <n v="6.8845000000000001"/>
    <n v="86.166401999999991"/>
    <m/>
  </r>
  <r>
    <n v="312"/>
    <s v="#8 @12&quot; TOP SW"/>
    <m/>
    <n v="12"/>
    <x v="1"/>
    <x v="1"/>
    <n v="8.2249999999999996"/>
    <n v="263.529"/>
    <m/>
  </r>
  <r>
    <n v="313"/>
    <s v="#5 @12&quot; TOP SW"/>
    <m/>
    <n v="12"/>
    <x v="3"/>
    <x v="1"/>
    <n v="8.2249999999999996"/>
    <n v="102.94409999999999"/>
    <m/>
  </r>
  <r>
    <n v="314"/>
    <s v="MID STRIP"/>
    <m/>
    <m/>
    <x v="0"/>
    <x v="0"/>
    <m/>
    <n v="0"/>
    <m/>
  </r>
  <r>
    <n v="315"/>
    <s v="#5 @12&quot; TOP SW"/>
    <m/>
    <n v="14"/>
    <x v="3"/>
    <x v="1"/>
    <n v="4.4375"/>
    <n v="64.796374999999998"/>
    <m/>
  </r>
  <r>
    <n v="316"/>
    <s v="#6 @12&quot; TOP SW"/>
    <m/>
    <n v="14"/>
    <x v="2"/>
    <x v="1"/>
    <n v="7.3324999999999996"/>
    <n v="154.18781000000001"/>
    <m/>
  </r>
  <r>
    <n v="317"/>
    <s v="#6 @12&quot; TOP SW"/>
    <m/>
    <n v="10"/>
    <x v="2"/>
    <x v="1"/>
    <n v="7.3324999999999996"/>
    <n v="110.13415000000001"/>
    <m/>
  </r>
  <r>
    <n v="318"/>
    <s v="#6 @12&quot; TOP SW"/>
    <m/>
    <n v="10"/>
    <x v="2"/>
    <x v="1"/>
    <n v="4.9175000000000004"/>
    <n v="73.860849999999999"/>
    <m/>
  </r>
  <r>
    <n v="319"/>
    <s v="#6 @12&quot; TOP SW"/>
    <m/>
    <n v="10"/>
    <x v="2"/>
    <x v="1"/>
    <n v="5.8125"/>
    <n v="87.303750000000008"/>
    <m/>
  </r>
  <r>
    <n v="320"/>
    <s v="#5 @12&quot; TOP SW"/>
    <m/>
    <n v="10"/>
    <x v="3"/>
    <x v="1"/>
    <n v="5.8125"/>
    <n v="60.624375000000001"/>
    <m/>
  </r>
  <r>
    <n v="321"/>
    <s v="COLUMN STRIP(GRID A-F/4)"/>
    <m/>
    <m/>
    <x v="0"/>
    <x v="0"/>
    <m/>
    <n v="0"/>
    <m/>
  </r>
  <r>
    <n v="322"/>
    <s v="#5 @12&quot; TOP SW"/>
    <m/>
    <n v="15"/>
    <x v="3"/>
    <x v="1"/>
    <n v="6.2124999999999995"/>
    <n v="97.194562499999989"/>
    <m/>
  </r>
  <r>
    <n v="323"/>
    <s v="#9 @12&quot; TOP SW"/>
    <m/>
    <n v="15"/>
    <x v="5"/>
    <x v="1"/>
    <n v="10.265499999999999"/>
    <n v="523.54049999999995"/>
    <m/>
  </r>
  <r>
    <n v="324"/>
    <s v="#6 @12&quot; TOP SW"/>
    <m/>
    <n v="14"/>
    <x v="2"/>
    <x v="1"/>
    <n v="10.265499999999999"/>
    <n v="215.862934"/>
    <m/>
  </r>
  <r>
    <n v="325"/>
    <s v="#5 @12&quot; TOP SW"/>
    <m/>
    <n v="14"/>
    <x v="3"/>
    <x v="1"/>
    <n v="6.8845000000000001"/>
    <n v="100.527469"/>
    <m/>
  </r>
  <r>
    <n v="326"/>
    <s v="#8 @12&quot; TOP SW"/>
    <m/>
    <n v="15"/>
    <x v="1"/>
    <x v="1"/>
    <n v="8.2249999999999996"/>
    <n v="329.41124999999994"/>
    <m/>
  </r>
  <r>
    <n v="327"/>
    <s v="#5 @12&quot; TOP SW"/>
    <m/>
    <n v="15"/>
    <x v="3"/>
    <x v="1"/>
    <n v="8.2249999999999996"/>
    <n v="128.68012499999998"/>
    <m/>
  </r>
  <r>
    <n v="328"/>
    <s v="MID STRIP"/>
    <m/>
    <m/>
    <x v="0"/>
    <x v="0"/>
    <m/>
    <n v="0"/>
    <m/>
  </r>
  <r>
    <n v="329"/>
    <s v="#5 @12&quot; TOP SW"/>
    <m/>
    <n v="15"/>
    <x v="3"/>
    <x v="1"/>
    <n v="4.4375"/>
    <n v="69.424687500000005"/>
    <m/>
  </r>
  <r>
    <n v="330"/>
    <s v="#6 @12&quot; TOP SW"/>
    <m/>
    <n v="15"/>
    <x v="2"/>
    <x v="1"/>
    <n v="7.3324999999999996"/>
    <n v="165.20122499999999"/>
    <m/>
  </r>
  <r>
    <n v="331"/>
    <s v="#5 @12&quot; TOP SW"/>
    <m/>
    <n v="18"/>
    <x v="3"/>
    <x v="1"/>
    <n v="10"/>
    <n v="187.74"/>
    <m/>
  </r>
  <r>
    <n v="332"/>
    <s v="#6 @12&quot; TOP SW"/>
    <m/>
    <n v="16"/>
    <x v="2"/>
    <x v="1"/>
    <n v="10"/>
    <n v="240.32"/>
    <m/>
  </r>
  <r>
    <n v="333"/>
    <s v="#5 @12&quot; TOP SW"/>
    <m/>
    <n v="16"/>
    <x v="3"/>
    <x v="1"/>
    <n v="10"/>
    <n v="166.88"/>
    <m/>
  </r>
  <r>
    <n v="334"/>
    <s v="COLUMN STRIP(GRID A-F/3)"/>
    <m/>
    <m/>
    <x v="0"/>
    <x v="0"/>
    <m/>
    <n v="0"/>
    <m/>
  </r>
  <r>
    <n v="335"/>
    <s v="#5 @12&quot; TOP SW"/>
    <m/>
    <n v="8"/>
    <x v="3"/>
    <x v="1"/>
    <n v="6.3"/>
    <n v="52.567199999999993"/>
    <m/>
  </r>
  <r>
    <n v="336"/>
    <s v="#8 @12&quot; TOP SW"/>
    <m/>
    <n v="8"/>
    <x v="1"/>
    <x v="1"/>
    <n v="8.9249999999999989"/>
    <n v="190.63799999999998"/>
    <m/>
  </r>
  <r>
    <n v="337"/>
    <s v="#7 @10&quot; TOP SW"/>
    <m/>
    <n v="11"/>
    <x v="4"/>
    <x v="1"/>
    <n v="8.9249999999999989"/>
    <n v="200.66969999999998"/>
    <m/>
  </r>
  <r>
    <n v="338"/>
    <s v="#6 @12&quot; TOP SW"/>
    <m/>
    <n v="7"/>
    <x v="2"/>
    <x v="1"/>
    <n v="7.4084500000000002"/>
    <n v="77.892443300000011"/>
    <m/>
  </r>
  <r>
    <n v="339"/>
    <s v="#7 @12&quot; TOP SW"/>
    <m/>
    <n v="9"/>
    <x v="4"/>
    <x v="1"/>
    <n v="9.6529999999999987"/>
    <n v="177.57658799999996"/>
    <m/>
  </r>
  <r>
    <n v="340"/>
    <s v="#5 @12&quot; TOP SW"/>
    <m/>
    <n v="9"/>
    <x v="3"/>
    <x v="1"/>
    <n v="9.6529999999999987"/>
    <n v="90.612710999999976"/>
    <m/>
  </r>
  <r>
    <n v="341"/>
    <s v="MID STRIP"/>
    <m/>
    <m/>
    <x v="0"/>
    <x v="0"/>
    <m/>
    <n v="0"/>
    <m/>
  </r>
  <r>
    <n v="342"/>
    <s v="#5 @12&quot; TOP SW"/>
    <m/>
    <n v="15"/>
    <x v="3"/>
    <x v="1"/>
    <n v="5.4175000000000004"/>
    <n v="84.756787500000002"/>
    <m/>
  </r>
  <r>
    <n v="343"/>
    <s v="#6 @12&quot; TOP SW"/>
    <m/>
    <n v="20"/>
    <x v="2"/>
    <x v="1"/>
    <n v="21.75"/>
    <n v="653.37"/>
    <m/>
  </r>
  <r>
    <n v="344"/>
    <s v="#5 @12&quot; TOP SW"/>
    <m/>
    <n v="15"/>
    <x v="3"/>
    <x v="1"/>
    <n v="6.9574999999999996"/>
    <n v="108.85008749999999"/>
    <m/>
  </r>
  <r>
    <n v="345"/>
    <s v="COLUMN STRIP(GRID A-F/2)"/>
    <m/>
    <m/>
    <x v="0"/>
    <x v="0"/>
    <m/>
    <n v="0"/>
    <m/>
  </r>
  <r>
    <n v="346"/>
    <s v="#5 @12&quot; TOP SW"/>
    <m/>
    <n v="17"/>
    <x v="3"/>
    <x v="1"/>
    <n v="9.7124999999999986"/>
    <n v="172.21233749999996"/>
    <m/>
  </r>
  <r>
    <n v="347"/>
    <s v="#5 @12&quot; TOP SW"/>
    <m/>
    <n v="17"/>
    <x v="3"/>
    <x v="1"/>
    <n v="9.7124999999999986"/>
    <n v="172.21233749999996"/>
    <m/>
  </r>
  <r>
    <n v="348"/>
    <s v="#5 @12&quot; TOP SW"/>
    <m/>
    <n v="5"/>
    <x v="3"/>
    <x v="1"/>
    <n v="10.149999999999999"/>
    <n v="52.932249999999989"/>
    <m/>
  </r>
  <r>
    <n v="349"/>
    <s v="16&quot; THK CONC DECK-(N-S DIR) (TOP SW)"/>
    <m/>
    <m/>
    <x v="0"/>
    <x v="0"/>
    <m/>
    <n v="0"/>
    <m/>
  </r>
  <r>
    <n v="350"/>
    <s v="EDGE STRIP(GRID A-F/7.1)"/>
    <m/>
    <m/>
    <x v="0"/>
    <x v="0"/>
    <m/>
    <n v="0"/>
    <m/>
  </r>
  <r>
    <n v="351"/>
    <s v="#6 @12&quot; TOP SW"/>
    <m/>
    <n v="20"/>
    <x v="2"/>
    <x v="1"/>
    <n v="8.1654999999999998"/>
    <n v="245.29161999999999"/>
    <m/>
  </r>
  <r>
    <n v="352"/>
    <s v="#9 @10&quot; TOP SW"/>
    <m/>
    <n v="24"/>
    <x v="5"/>
    <x v="1"/>
    <n v="8.1654999999999998"/>
    <n v="666.3048"/>
    <m/>
  </r>
  <r>
    <n v="353"/>
    <s v="#7 @12&quot; TOP SW"/>
    <m/>
    <n v="9"/>
    <x v="4"/>
    <x v="1"/>
    <n v="8.1654999999999998"/>
    <n v="150.212538"/>
    <m/>
  </r>
  <r>
    <n v="354"/>
    <s v="#8 @12&quot; TOP SW"/>
    <m/>
    <n v="9"/>
    <x v="1"/>
    <x v="1"/>
    <n v="12.134499999999999"/>
    <n v="291.59203499999995"/>
    <m/>
  </r>
  <r>
    <n v="355"/>
    <s v="MID STRIP"/>
    <m/>
    <m/>
    <x v="0"/>
    <x v="0"/>
    <m/>
    <n v="0"/>
    <m/>
  </r>
  <r>
    <n v="356"/>
    <s v="#7 @12&quot; TOP SW"/>
    <m/>
    <n v="8"/>
    <x v="4"/>
    <x v="1"/>
    <n v="5.8324999999999996"/>
    <n v="95.373039999999989"/>
    <m/>
  </r>
  <r>
    <n v="357"/>
    <s v="#6 @12&quot; TOP SW"/>
    <m/>
    <n v="8"/>
    <x v="2"/>
    <x v="1"/>
    <n v="5.8324999999999996"/>
    <n v="70.083320000000001"/>
    <m/>
  </r>
  <r>
    <n v="358"/>
    <s v="COLUMN STRIP"/>
    <m/>
    <m/>
    <x v="0"/>
    <x v="0"/>
    <m/>
    <n v="0"/>
    <m/>
  </r>
  <r>
    <n v="359"/>
    <s v="#8 @10&quot; TOP SW"/>
    <m/>
    <n v="7"/>
    <x v="1"/>
    <x v="1"/>
    <n v="8.1654999999999998"/>
    <n v="152.61319499999999"/>
    <m/>
  </r>
  <r>
    <n v="360"/>
    <s v="#6 @12&quot; TOP SW"/>
    <m/>
    <n v="6"/>
    <x v="2"/>
    <x v="1"/>
    <n v="17.165500000000002"/>
    <n v="154.69548600000002"/>
    <m/>
  </r>
  <r>
    <n v="361"/>
    <s v="1'-6&quot; THK CONC SLAB (SEC 1/S-4)"/>
    <m/>
    <m/>
    <x v="0"/>
    <x v="0"/>
    <m/>
    <n v="0"/>
    <m/>
  </r>
  <r>
    <n v="362"/>
    <s v="#4 @12&quot; BOT  LW"/>
    <m/>
    <n v="5"/>
    <x v="6"/>
    <x v="1"/>
    <n v="27.334"/>
    <n v="91.295560000000009"/>
    <m/>
  </r>
  <r>
    <n v="363"/>
    <s v="#4 @12&quot; BOT SW"/>
    <m/>
    <n v="29"/>
    <x v="6"/>
    <x v="1"/>
    <n v="3.3340000000000001"/>
    <n v="64.586247999999998"/>
    <m/>
  </r>
  <r>
    <n v="364"/>
    <s v="#4 @12&quot; TOP LW"/>
    <m/>
    <n v="9"/>
    <x v="6"/>
    <x v="1"/>
    <n v="27.334"/>
    <n v="164.33200800000003"/>
    <m/>
  </r>
  <r>
    <n v="365"/>
    <s v="#4 @12&quot; TOP SW"/>
    <m/>
    <n v="29"/>
    <x v="6"/>
    <x v="1"/>
    <n v="7.3339999999999996"/>
    <n v="142.07424799999998"/>
    <m/>
  </r>
  <r>
    <n v="366"/>
    <s v="6&quot; THK CONC.CURB (SEC 20/S-12)"/>
    <m/>
    <m/>
    <x v="0"/>
    <x v="0"/>
    <m/>
    <n v="0"/>
    <m/>
  </r>
  <r>
    <n v="367"/>
    <s v="#4 @12&quot; DWLS"/>
    <m/>
    <n v="259"/>
    <x v="6"/>
    <x v="2"/>
    <n v="2"/>
    <n v="346.024"/>
    <m/>
  </r>
  <r>
    <n v="368"/>
    <s v="1-#4 CONT"/>
    <n v="6"/>
    <n v="1"/>
    <x v="6"/>
    <x v="3"/>
    <n v="40"/>
    <n v="160.32000000000002"/>
    <m/>
  </r>
  <r>
    <n v="369"/>
    <s v="1-#4 CONT"/>
    <m/>
    <n v="1"/>
    <x v="6"/>
    <x v="1"/>
    <n v="19.329999999999998"/>
    <n v="12.91244"/>
    <m/>
  </r>
  <r>
    <n v="370"/>
    <s v="6&quot; THK CONC.CURB (SEC 18/S-13)"/>
    <m/>
    <m/>
    <x v="0"/>
    <x v="0"/>
    <m/>
    <n v="0"/>
    <m/>
  </r>
  <r>
    <n v="371"/>
    <s v="#4 @12&quot; DWLS"/>
    <m/>
    <n v="44"/>
    <x v="6"/>
    <x v="2"/>
    <n v="3"/>
    <n v="88.176000000000002"/>
    <m/>
  </r>
  <r>
    <n v="372"/>
    <s v="1-#4 CONT"/>
    <m/>
    <n v="1"/>
    <x v="6"/>
    <x v="3"/>
    <n v="40"/>
    <n v="26.720000000000002"/>
    <m/>
  </r>
  <r>
    <n v="373"/>
    <s v="1-#4 CONT"/>
    <m/>
    <n v="1"/>
    <x v="6"/>
    <x v="1"/>
    <n v="14.83"/>
    <n v="9.9064399999999999"/>
    <m/>
  </r>
  <r>
    <n v="374"/>
    <s v="8&quot; THK CMU WALL DWLS"/>
    <m/>
    <m/>
    <x v="0"/>
    <x v="0"/>
    <m/>
    <n v="0"/>
    <m/>
  </r>
  <r>
    <n v="375"/>
    <s v=" (SEC 1/S-4)"/>
    <m/>
    <m/>
    <x v="0"/>
    <x v="0"/>
    <m/>
    <n v="0"/>
    <m/>
  </r>
  <r>
    <n v="376"/>
    <s v="#4 @16&quot; D/V"/>
    <m/>
    <n v="48"/>
    <x v="6"/>
    <x v="2"/>
    <n v="6.33"/>
    <n v="202.96512000000001"/>
    <m/>
  </r>
  <r>
    <n v="377"/>
    <s v="(SEC 20/S-13)"/>
    <m/>
    <m/>
    <x v="0"/>
    <x v="0"/>
    <m/>
    <n v="0"/>
    <m/>
  </r>
  <r>
    <n v="378"/>
    <s v="#4 @16&quot; D/V"/>
    <m/>
    <n v="36"/>
    <x v="6"/>
    <x v="2"/>
    <n v="6.33"/>
    <n v="152.22384"/>
    <m/>
  </r>
  <r>
    <n v="379"/>
    <s v="(SEC 2/S-4)"/>
    <m/>
    <m/>
    <x v="0"/>
    <x v="0"/>
    <m/>
    <n v="0"/>
    <m/>
  </r>
  <r>
    <n v="380"/>
    <s v="#4 @16&quot; D/V"/>
    <m/>
    <n v="28"/>
    <x v="6"/>
    <x v="2"/>
    <n v="6.33"/>
    <n v="118.39632"/>
    <m/>
  </r>
  <r>
    <n v="381"/>
    <s v="(SEC 19/S-13)"/>
    <m/>
    <m/>
    <x v="0"/>
    <x v="0"/>
    <m/>
    <n v="0"/>
    <m/>
  </r>
  <r>
    <n v="382"/>
    <s v="#5 @16&quot; DWLS"/>
    <m/>
    <n v="358"/>
    <x v="3"/>
    <x v="2"/>
    <n v="4.9130000000000003"/>
    <n v="1834.4847220000001"/>
    <m/>
  </r>
  <r>
    <n v="383"/>
    <s v="DROP PANNAL (SEC 3/S-12)"/>
    <m/>
    <m/>
    <x v="0"/>
    <x v="0"/>
    <m/>
    <n v="0"/>
    <m/>
  </r>
  <r>
    <n v="384"/>
    <s v="SIZE (4'-0&quot;x4'-0&quot;x0'-8&quot; DP)"/>
    <m/>
    <m/>
    <x v="0"/>
    <x v="0"/>
    <m/>
    <n v="0"/>
    <m/>
  </r>
  <r>
    <n v="385"/>
    <s v="#4 @12&quot; BOT EW"/>
    <n v="18"/>
    <n v="10"/>
    <x v="6"/>
    <x v="1"/>
    <n v="3.76"/>
    <n v="452.10240000000005"/>
    <m/>
  </r>
  <r>
    <n v="386"/>
    <s v="#4 SUPPORT BARS "/>
    <m/>
    <n v="75"/>
    <x v="6"/>
    <x v="3"/>
    <n v="40"/>
    <n v="2004.0000000000002"/>
    <m/>
  </r>
  <r>
    <n v="387"/>
    <m/>
    <m/>
    <m/>
    <x v="0"/>
    <x v="0"/>
    <m/>
    <n v="0"/>
    <m/>
  </r>
  <r>
    <n v="388"/>
    <m/>
    <m/>
    <m/>
    <x v="0"/>
    <x v="0"/>
    <m/>
    <n v="0"/>
    <m/>
  </r>
  <r>
    <n v="389"/>
    <m/>
    <m/>
    <m/>
    <x v="0"/>
    <x v="0"/>
    <m/>
    <n v="0"/>
    <m/>
  </r>
  <r>
    <n v="390"/>
    <m/>
    <m/>
    <m/>
    <x v="0"/>
    <x v="0"/>
    <m/>
    <n v="0"/>
    <m/>
  </r>
  <r>
    <n v="391"/>
    <m/>
    <m/>
    <m/>
    <x v="0"/>
    <x v="0"/>
    <m/>
    <n v="0"/>
    <m/>
  </r>
  <r>
    <n v="392"/>
    <m/>
    <m/>
    <m/>
    <x v="0"/>
    <x v="0"/>
    <m/>
    <n v="0"/>
    <m/>
  </r>
  <r>
    <n v="393"/>
    <m/>
    <m/>
    <m/>
    <x v="0"/>
    <x v="0"/>
    <m/>
    <n v="0"/>
    <m/>
  </r>
  <r>
    <n v="394"/>
    <m/>
    <m/>
    <m/>
    <x v="0"/>
    <x v="0"/>
    <m/>
    <n v="0"/>
    <m/>
  </r>
  <r>
    <n v="395"/>
    <m/>
    <m/>
    <m/>
    <x v="0"/>
    <x v="0"/>
    <m/>
    <n v="0"/>
    <m/>
  </r>
  <r>
    <n v="396"/>
    <m/>
    <m/>
    <m/>
    <x v="0"/>
    <x v="0"/>
    <m/>
    <n v="0"/>
    <m/>
  </r>
  <r>
    <n v="397"/>
    <m/>
    <m/>
    <m/>
    <x v="0"/>
    <x v="0"/>
    <m/>
    <n v="0"/>
    <m/>
  </r>
  <r>
    <n v="398"/>
    <m/>
    <m/>
    <m/>
    <x v="0"/>
    <x v="0"/>
    <m/>
    <n v="0"/>
    <m/>
  </r>
  <r>
    <n v="399"/>
    <m/>
    <m/>
    <m/>
    <x v="0"/>
    <x v="0"/>
    <m/>
    <n v="0"/>
    <m/>
  </r>
  <r>
    <n v="400"/>
    <m/>
    <m/>
    <m/>
    <x v="0"/>
    <x v="0"/>
    <m/>
    <n v="0"/>
    <m/>
  </r>
  <r>
    <m/>
    <m/>
    <m/>
    <m/>
    <x v="0"/>
    <x v="0"/>
    <s v="Total Weight"/>
    <n v="117858.2123593000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69:E77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5"/>
        <item x="2"/>
        <item x="3"/>
        <item x="1"/>
        <item x="4"/>
        <item x="6"/>
        <item h="1" x="0"/>
        <item t="default"/>
      </items>
    </pivotField>
    <pivotField axis="axisCol" compact="0" outline="0" subtotalTop="0" showAll="0" includeNewItemsInFilter="1">
      <items count="5">
        <item x="3"/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16">
      <pivotArea dataOnly="0" labelOnly="1" grandCol="1" outline="0" fieldPosition="0"/>
    </format>
    <format dxfId="15">
      <pivotArea field="4" type="button" dataOnly="0" labelOnly="1" outline="0" axis="axisRow" fieldPosition="0"/>
    </format>
    <format dxfId="14">
      <pivotArea dataOnly="0" labelOnly="1" outline="0" fieldPosition="0">
        <references count="1">
          <reference field="5" count="0"/>
        </references>
      </pivotArea>
    </format>
    <format dxfId="13">
      <pivotArea dataOnly="0" labelOnly="1" grandCol="1" outline="0" fieldPosition="0"/>
    </format>
    <format dxfId="12">
      <pivotArea field="4" type="button" dataOnly="0" labelOnly="1" outline="0" axis="axisRow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Col="1" outline="0" fieldPosition="0"/>
    </format>
    <format dxfId="9">
      <pivotArea field="4" type="button" dataOnly="0" labelOnly="1" outline="0" axis="axisRow" fieldPosition="0"/>
    </format>
    <format dxfId="8">
      <pivotArea dataOnly="0" labelOnly="1" outline="0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dataOnly="0" labelOnly="1" grandRow="1"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59:D65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2"/>
        <item x="4"/>
        <item x="3"/>
        <item x="1"/>
        <item h="1" x="0"/>
        <item t="default"/>
      </items>
    </pivotField>
    <pivotField axis="axisCol" compact="0" outline="0" subtotalTop="0" showAll="0" includeNewItemsInFilter="1">
      <items count="4"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Weight(LBS)" fld="7" baseField="0" baseItem="0" numFmtId="1"/>
  </dataFields>
  <formats count="17">
    <format dxfId="171">
      <pivotArea dataOnly="0" labelOnly="1" grandCol="1" outline="0" fieldPosition="0"/>
    </format>
    <format dxfId="170">
      <pivotArea field="4" type="button" dataOnly="0" labelOnly="1" outline="0" axis="axisRow" fieldPosition="0"/>
    </format>
    <format dxfId="169">
      <pivotArea dataOnly="0" labelOnly="1" outline="0" fieldPosition="0">
        <references count="1">
          <reference field="5" count="0"/>
        </references>
      </pivotArea>
    </format>
    <format dxfId="168">
      <pivotArea dataOnly="0" labelOnly="1" grandCol="1" outline="0" fieldPosition="0"/>
    </format>
    <format dxfId="167">
      <pivotArea field="4" type="button" dataOnly="0" labelOnly="1" outline="0" axis="axisRow" fieldPosition="0"/>
    </format>
    <format dxfId="166">
      <pivotArea dataOnly="0" labelOnly="1" outline="0" fieldPosition="0">
        <references count="1">
          <reference field="5" count="0"/>
        </references>
      </pivotArea>
    </format>
    <format dxfId="165">
      <pivotArea dataOnly="0" labelOnly="1" grandCol="1" outline="0" fieldPosition="0"/>
    </format>
    <format dxfId="164">
      <pivotArea field="4" type="button" dataOnly="0" labelOnly="1" outline="0" axis="axisRow" fieldPosition="0"/>
    </format>
    <format dxfId="163">
      <pivotArea dataOnly="0" labelOnly="1" outline="0" fieldPosition="0">
        <references count="1">
          <reference field="5" count="0"/>
        </references>
      </pivotArea>
    </format>
    <format dxfId="162">
      <pivotArea dataOnly="0" labelOnly="1" grandCol="1" outline="0" fieldPosition="0"/>
    </format>
    <format dxfId="161">
      <pivotArea dataOnly="0" labelOnly="1" grandRow="1" outline="0" fieldPosition="0"/>
    </format>
    <format dxfId="160">
      <pivotArea outline="0" fieldPosition="0"/>
    </format>
    <format dxfId="159">
      <pivotArea type="all" dataOnly="0" outline="0" fieldPosition="0"/>
    </format>
    <format dxfId="158">
      <pivotArea type="all" dataOnly="0" outline="0" fieldPosition="0"/>
    </format>
    <format dxfId="157">
      <pivotArea type="all" dataOnly="0" outline="0" fieldPosition="0"/>
    </format>
    <format dxfId="156">
      <pivotArea type="all" dataOnly="0" outline="0" fieldPosition="0"/>
    </format>
    <format dxfId="15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6" cacheId="5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81:D89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3"/>
        <item x="6"/>
        <item x="5"/>
        <item x="2"/>
        <item x="1"/>
        <item x="4"/>
        <item h="1" x="0"/>
        <item t="default"/>
      </items>
    </pivotField>
    <pivotField axis="axisCol" compact="0" outline="0" subtotalTop="0" showAll="0" includeNewItemsInFilter="1">
      <items count="4"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Weight(LBS)" fld="7" baseField="0" baseItem="0" numFmtId="1"/>
  </dataFields>
  <formats count="17">
    <format dxfId="188">
      <pivotArea dataOnly="0" labelOnly="1" grandCol="1" outline="0" fieldPosition="0"/>
    </format>
    <format dxfId="187">
      <pivotArea field="4" type="button" dataOnly="0" labelOnly="1" outline="0" axis="axisRow" fieldPosition="0"/>
    </format>
    <format dxfId="186">
      <pivotArea dataOnly="0" labelOnly="1" outline="0" fieldPosition="0">
        <references count="1">
          <reference field="5" count="0"/>
        </references>
      </pivotArea>
    </format>
    <format dxfId="185">
      <pivotArea dataOnly="0" labelOnly="1" grandCol="1" outline="0" fieldPosition="0"/>
    </format>
    <format dxfId="184">
      <pivotArea field="4" type="button" dataOnly="0" labelOnly="1" outline="0" axis="axisRow" fieldPosition="0"/>
    </format>
    <format dxfId="183">
      <pivotArea dataOnly="0" labelOnly="1" outline="0" fieldPosition="0">
        <references count="1">
          <reference field="5" count="0"/>
        </references>
      </pivotArea>
    </format>
    <format dxfId="182">
      <pivotArea dataOnly="0" labelOnly="1" grandCol="1" outline="0" fieldPosition="0"/>
    </format>
    <format dxfId="181">
      <pivotArea field="4" type="button" dataOnly="0" labelOnly="1" outline="0" axis="axisRow" fieldPosition="0"/>
    </format>
    <format dxfId="180">
      <pivotArea dataOnly="0" labelOnly="1" outline="0" fieldPosition="0">
        <references count="1">
          <reference field="5" count="0"/>
        </references>
      </pivotArea>
    </format>
    <format dxfId="179">
      <pivotArea dataOnly="0" labelOnly="1" grandCol="1" outline="0" fieldPosition="0"/>
    </format>
    <format dxfId="178">
      <pivotArea dataOnly="0" labelOnly="1" grandRow="1" outline="0" fieldPosition="0"/>
    </format>
    <format dxfId="177">
      <pivotArea outline="0" fieldPosition="0"/>
    </format>
    <format dxfId="176">
      <pivotArea type="all" dataOnly="0" outline="0" fieldPosition="0"/>
    </format>
    <format dxfId="175">
      <pivotArea type="all" dataOnly="0" outline="0" fieldPosition="0"/>
    </format>
    <format dxfId="174">
      <pivotArea type="all" dataOnly="0" outline="0" fieldPosition="0"/>
    </format>
    <format dxfId="173">
      <pivotArea type="all" dataOnly="0" outline="0" fieldPosition="0"/>
    </format>
    <format dxfId="17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9" cacheId="8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15:E123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6"/>
        <item x="3"/>
        <item x="2"/>
        <item x="4"/>
        <item x="1"/>
        <item x="5"/>
        <item h="1" x="0"/>
        <item t="default"/>
      </items>
    </pivotField>
    <pivotField axis="axisCol" compact="0" outline="0" subtotalTop="0" showAll="0" includeNewItemsInFilter="1">
      <items count="5">
        <item x="2"/>
        <item x="3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205">
      <pivotArea dataOnly="0" labelOnly="1" grandCol="1" outline="0" fieldPosition="0"/>
    </format>
    <format dxfId="204">
      <pivotArea field="4" type="button" dataOnly="0" labelOnly="1" outline="0" axis="axisRow" fieldPosition="0"/>
    </format>
    <format dxfId="203">
      <pivotArea dataOnly="0" labelOnly="1" outline="0" fieldPosition="0">
        <references count="1">
          <reference field="5" count="0"/>
        </references>
      </pivotArea>
    </format>
    <format dxfId="202">
      <pivotArea dataOnly="0" labelOnly="1" grandCol="1" outline="0" fieldPosition="0"/>
    </format>
    <format dxfId="201">
      <pivotArea field="4" type="button" dataOnly="0" labelOnly="1" outline="0" axis="axisRow" fieldPosition="0"/>
    </format>
    <format dxfId="200">
      <pivotArea dataOnly="0" labelOnly="1" outline="0" fieldPosition="0">
        <references count="1">
          <reference field="5" count="0"/>
        </references>
      </pivotArea>
    </format>
    <format dxfId="199">
      <pivotArea dataOnly="0" labelOnly="1" grandCol="1" outline="0" fieldPosition="0"/>
    </format>
    <format dxfId="198">
      <pivotArea field="4" type="button" dataOnly="0" labelOnly="1" outline="0" axis="axisRow" fieldPosition="0"/>
    </format>
    <format dxfId="197">
      <pivotArea dataOnly="0" labelOnly="1" outline="0" fieldPosition="0">
        <references count="1">
          <reference field="5" count="0"/>
        </references>
      </pivotArea>
    </format>
    <format dxfId="196">
      <pivotArea dataOnly="0" labelOnly="1" grandCol="1" outline="0" fieldPosition="0"/>
    </format>
    <format dxfId="195">
      <pivotArea dataOnly="0" labelOnly="1" grandRow="1" outline="0" fieldPosition="0"/>
    </format>
    <format dxfId="194">
      <pivotArea outline="0" fieldPosition="0"/>
    </format>
    <format dxfId="193">
      <pivotArea type="all" dataOnly="0" outline="0" fieldPosition="0"/>
    </format>
    <format dxfId="192">
      <pivotArea type="all" dataOnly="0" outline="0" fieldPosition="0"/>
    </format>
    <format dxfId="191">
      <pivotArea type="all" dataOnly="0" outline="0" fieldPosition="0"/>
    </format>
    <format dxfId="190">
      <pivotArea type="all" dataOnly="0" outline="0" fieldPosition="0"/>
    </format>
    <format dxfId="18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8:E46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4"/>
        <item x="1"/>
        <item x="2"/>
        <item x="3"/>
        <item x="6"/>
        <item x="5"/>
        <item h="1" x="0"/>
        <item t="default"/>
      </items>
    </pivotField>
    <pivotField axis="axisCol" compact="0" outline="0" subtotalTop="0" showAll="0" includeNewItemsInFilter="1">
      <items count="5">
        <item x="3"/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33">
      <pivotArea dataOnly="0" labelOnly="1" grandCol="1" outline="0" fieldPosition="0"/>
    </format>
    <format dxfId="32">
      <pivotArea field="4" type="button" dataOnly="0" labelOnly="1" outline="0" axis="axisRow" fieldPosition="0"/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Col="1" outline="0" fieldPosition="0"/>
    </format>
    <format dxfId="29">
      <pivotArea field="4" type="button" dataOnly="0" labelOnly="1" outline="0" axis="axisRow" fieldPosition="0"/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dataOnly="0" labelOnly="1" grandCol="1" outline="0" fieldPosition="0"/>
    </format>
    <format dxfId="26">
      <pivotArea field="4" type="button" dataOnly="0" labelOnly="1" outline="0" axis="axisRow" fieldPosition="0"/>
    </format>
    <format dxfId="25">
      <pivotArea dataOnly="0" labelOnly="1" outline="0" fieldPosition="0">
        <references count="1">
          <reference field="5" count="0"/>
        </references>
      </pivotArea>
    </format>
    <format dxfId="24">
      <pivotArea dataOnly="0" labelOnly="1" grandCol="1" outline="0" fieldPosition="0"/>
    </format>
    <format dxfId="23">
      <pivotArea dataOnly="0" labelOnly="1" grandRow="1" outline="0" fieldPosition="0"/>
    </format>
    <format dxfId="22">
      <pivotArea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2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54:D159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2"/>
        <item x="1"/>
        <item x="3"/>
        <item h="1" x="0"/>
        <item t="default"/>
      </items>
    </pivotField>
    <pivotField axis="axisCol" compact="0" outline="0" subtotalTop="0" showAll="0" includeNewItemsInFilter="1">
      <items count="4">
        <item x="1"/>
        <item x="2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Weight(LBS)" fld="7" baseField="0" baseItem="0" numFmtId="1"/>
  </dataFields>
  <formats count="19">
    <format dxfId="52">
      <pivotArea dataOnly="0" labelOnly="1" grandCol="1" outline="0" fieldPosition="0"/>
    </format>
    <format dxfId="51">
      <pivotArea dataOnly="0" labelOnly="1" grandCol="1" outline="0" fieldPosition="0"/>
    </format>
    <format dxfId="50">
      <pivotArea field="4" type="button" dataOnly="0" labelOnly="1" outline="0" axis="axisRow" fieldPosition="0"/>
    </format>
    <format dxfId="49">
      <pivotArea dataOnly="0" labelOnly="1" outline="0" fieldPosition="0">
        <references count="1">
          <reference field="5" count="0"/>
        </references>
      </pivotArea>
    </format>
    <format dxfId="48">
      <pivotArea dataOnly="0" labelOnly="1" grandCol="1" outline="0" fieldPosition="0"/>
    </format>
    <format dxfId="47">
      <pivotArea field="4" type="button" dataOnly="0" labelOnly="1" outline="0" axis="axisRow" fieldPosition="0"/>
    </format>
    <format dxfId="46">
      <pivotArea dataOnly="0" labelOnly="1" outline="0" fieldPosition="0">
        <references count="1">
          <reference field="5" count="0"/>
        </references>
      </pivotArea>
    </format>
    <format dxfId="45">
      <pivotArea dataOnly="0" labelOnly="1" grandCol="1" outline="0" fieldPosition="0"/>
    </format>
    <format dxfId="44">
      <pivotArea field="4" type="button" dataOnly="0" labelOnly="1" outline="0" axis="axisRow" fieldPosition="0"/>
    </format>
    <format dxfId="43">
      <pivotArea dataOnly="0" labelOnly="1" outline="0" fieldPosition="0">
        <references count="1">
          <reference field="5" count="0"/>
        </references>
      </pivotArea>
    </format>
    <format dxfId="42">
      <pivotArea dataOnly="0" labelOnly="1" grandCol="1" outline="0" fieldPosition="0"/>
    </format>
    <format dxfId="41">
      <pivotArea dataOnly="0" labelOnly="1" grandRow="1" outline="0" fieldPosition="0"/>
    </format>
    <format dxfId="40">
      <pivotArea dataOnly="0" labelOnly="1" grandRow="1" outline="0" fieldPosition="0"/>
    </format>
    <format dxfId="39">
      <pivotArea outline="0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type="all" dataOnly="0" outline="0" fieldPosition="0"/>
    </format>
    <format dxfId="35">
      <pivotArea type="all" dataOnly="0" outline="0" fieldPosition="0"/>
    </format>
    <format dxfId="3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0" cacheId="9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27:E137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x="3"/>
        <item x="7"/>
        <item x="8"/>
        <item x="2"/>
        <item x="1"/>
        <item x="4"/>
        <item x="5"/>
        <item x="6"/>
        <item h="1" x="0"/>
        <item t="default"/>
      </items>
    </pivotField>
    <pivotField axis="axisCol" compact="0" outline="0" subtotalTop="0" showAll="0" includeNewItemsInFilter="1">
      <items count="5">
        <item x="2"/>
        <item x="3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69">
      <pivotArea dataOnly="0" labelOnly="1" grandCol="1" outline="0" fieldPosition="0"/>
    </format>
    <format dxfId="68">
      <pivotArea field="4" type="button" dataOnly="0" labelOnly="1" outline="0" axis="axisRow" fieldPosition="0"/>
    </format>
    <format dxfId="67">
      <pivotArea dataOnly="0" labelOnly="1" outline="0" fieldPosition="0">
        <references count="1">
          <reference field="5" count="0"/>
        </references>
      </pivotArea>
    </format>
    <format dxfId="66">
      <pivotArea dataOnly="0" labelOnly="1" grandCol="1" outline="0" fieldPosition="0"/>
    </format>
    <format dxfId="65">
      <pivotArea field="4" type="button" dataOnly="0" labelOnly="1" outline="0" axis="axisRow" fieldPosition="0"/>
    </format>
    <format dxfId="64">
      <pivotArea dataOnly="0" labelOnly="1" outline="0" fieldPosition="0">
        <references count="1">
          <reference field="5" count="0"/>
        </references>
      </pivotArea>
    </format>
    <format dxfId="63">
      <pivotArea dataOnly="0" labelOnly="1" grandCol="1" outline="0" fieldPosition="0"/>
    </format>
    <format dxfId="62">
      <pivotArea field="4" type="button" dataOnly="0" labelOnly="1" outline="0" axis="axisRow" fieldPosition="0"/>
    </format>
    <format dxfId="61">
      <pivotArea dataOnly="0" labelOnly="1" outline="0" fieldPosition="0">
        <references count="1">
          <reference field="5" count="0"/>
        </references>
      </pivotArea>
    </format>
    <format dxfId="60">
      <pivotArea dataOnly="0" labelOnly="1" grandCol="1" outline="0" fieldPosition="0"/>
    </format>
    <format dxfId="59">
      <pivotArea dataOnly="0" labelOnly="1" grandRow="1" outline="0" fieldPosition="0"/>
    </format>
    <format dxfId="58">
      <pivotArea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type="all" dataOnly="0" outline="0" fieldPosition="0"/>
    </format>
    <format dxfId="54">
      <pivotArea type="all" dataOnly="0" outline="0" fieldPosition="0"/>
    </format>
    <format dxfId="5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50:E55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h="1" x="0"/>
        <item t="default"/>
      </items>
    </pivotField>
    <pivotField axis="axisCol" compact="0" outline="0" subtotalTop="0" showAll="0" includeNewItemsInFilter="1">
      <items count="5">
        <item x="2"/>
        <item x="1"/>
        <item x="3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86">
      <pivotArea dataOnly="0" labelOnly="1" grandCol="1" outline="0" fieldPosition="0"/>
    </format>
    <format dxfId="85">
      <pivotArea field="4" type="button" dataOnly="0" labelOnly="1" outline="0" axis="axisRow" fieldPosition="0"/>
    </format>
    <format dxfId="84">
      <pivotArea dataOnly="0" labelOnly="1" outline="0" fieldPosition="0">
        <references count="1">
          <reference field="5" count="0"/>
        </references>
      </pivotArea>
    </format>
    <format dxfId="83">
      <pivotArea dataOnly="0" labelOnly="1" grandCol="1" outline="0" fieldPosition="0"/>
    </format>
    <format dxfId="82">
      <pivotArea field="4" type="button" dataOnly="0" labelOnly="1" outline="0" axis="axisRow" fieldPosition="0"/>
    </format>
    <format dxfId="81">
      <pivotArea dataOnly="0" labelOnly="1" outline="0" fieldPosition="0">
        <references count="1">
          <reference field="5" count="0"/>
        </references>
      </pivotArea>
    </format>
    <format dxfId="80">
      <pivotArea dataOnly="0" labelOnly="1" grandCol="1" outline="0" fieldPosition="0"/>
    </format>
    <format dxfId="79">
      <pivotArea field="4" type="button" dataOnly="0" labelOnly="1" outline="0" axis="axisRow" fieldPosition="0"/>
    </format>
    <format dxfId="78">
      <pivotArea dataOnly="0" labelOnly="1" outline="0" fieldPosition="0">
        <references count="1">
          <reference field="5" count="0"/>
        </references>
      </pivotArea>
    </format>
    <format dxfId="77">
      <pivotArea dataOnly="0" labelOnly="1" grandCol="1" outline="0" fieldPosition="0"/>
    </format>
    <format dxfId="76">
      <pivotArea dataOnly="0" labelOnly="1" grandRow="1" outline="0" fieldPosition="0"/>
    </format>
    <format dxfId="75">
      <pivotArea outline="0" fieldPosition="0"/>
    </format>
    <format dxfId="74">
      <pivotArea type="all" dataOnly="0" outline="0" fieldPosition="0"/>
    </format>
    <format dxfId="73">
      <pivotArea type="all" dataOnly="0" outline="0" fieldPosition="0"/>
    </format>
    <format dxfId="72">
      <pivotArea type="all" dataOnly="0" outline="0" fieldPosition="0"/>
    </format>
    <format dxfId="71">
      <pivotArea type="all" dataOnly="0" outline="0" fieldPosition="0"/>
    </format>
    <format dxfId="7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7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93:E101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6"/>
        <item x="1"/>
        <item x="2"/>
        <item x="3"/>
        <item x="4"/>
        <item x="5"/>
        <item h="1" x="0"/>
        <item t="default"/>
      </items>
    </pivotField>
    <pivotField axis="axisCol" compact="0" outline="0" subtotalTop="0" showAll="0" includeNewItemsInFilter="1">
      <items count="5">
        <item x="1"/>
        <item x="3"/>
        <item x="2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103">
      <pivotArea dataOnly="0" labelOnly="1" grandCol="1" outline="0" fieldPosition="0"/>
    </format>
    <format dxfId="102">
      <pivotArea field="4" type="button" dataOnly="0" labelOnly="1" outline="0" axis="axisRow" fieldPosition="0"/>
    </format>
    <format dxfId="101">
      <pivotArea dataOnly="0" labelOnly="1" outline="0" fieldPosition="0">
        <references count="1">
          <reference field="5" count="0"/>
        </references>
      </pivotArea>
    </format>
    <format dxfId="100">
      <pivotArea dataOnly="0" labelOnly="1" grandCol="1" outline="0" fieldPosition="0"/>
    </format>
    <format dxfId="99">
      <pivotArea field="4" type="button" dataOnly="0" labelOnly="1" outline="0" axis="axisRow" fieldPosition="0"/>
    </format>
    <format dxfId="98">
      <pivotArea dataOnly="0" labelOnly="1" outline="0" fieldPosition="0">
        <references count="1">
          <reference field="5" count="0"/>
        </references>
      </pivotArea>
    </format>
    <format dxfId="97">
      <pivotArea dataOnly="0" labelOnly="1" grandCol="1" outline="0" fieldPosition="0"/>
    </format>
    <format dxfId="96">
      <pivotArea field="4" type="button" dataOnly="0" labelOnly="1" outline="0" axis="axisRow" fieldPosition="0"/>
    </format>
    <format dxfId="95">
      <pivotArea dataOnly="0" labelOnly="1" outline="0" fieldPosition="0">
        <references count="1">
          <reference field="5" count="0"/>
        </references>
      </pivotArea>
    </format>
    <format dxfId="94">
      <pivotArea dataOnly="0" labelOnly="1" grandCol="1" outline="0" fieldPosition="0"/>
    </format>
    <format dxfId="93">
      <pivotArea dataOnly="0" labelOnly="1" grandRow="1" outline="0" fieldPosition="0"/>
    </format>
    <format dxfId="92">
      <pivotArea outline="0" fieldPosition="0"/>
    </format>
    <format dxfId="91">
      <pivotArea type="all" dataOnly="0" outline="0" fieldPosition="0"/>
    </format>
    <format dxfId="90">
      <pivotArea type="all" dataOnly="0" outline="0" fieldPosition="0"/>
    </format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27:D34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1"/>
        <item x="2"/>
        <item x="3"/>
        <item x="5"/>
        <item x="4"/>
        <item h="1" x="0"/>
        <item t="default"/>
      </items>
    </pivotField>
    <pivotField axis="axisCol" compact="0" outline="0" subtotalTop="0" showAll="0" includeNewItemsInFilter="1">
      <items count="4"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Weight(LBS)" fld="7" baseField="0" baseItem="0" numFmtId="1"/>
  </dataFields>
  <formats count="17">
    <format dxfId="120">
      <pivotArea dataOnly="0" labelOnly="1" grandCol="1" outline="0" fieldPosition="0"/>
    </format>
    <format dxfId="119">
      <pivotArea field="4" type="button" dataOnly="0" labelOnly="1" outline="0" axis="axisRow" fieldPosition="0"/>
    </format>
    <format dxfId="118">
      <pivotArea dataOnly="0" labelOnly="1" outline="0" fieldPosition="0">
        <references count="1">
          <reference field="5" count="0"/>
        </references>
      </pivotArea>
    </format>
    <format dxfId="117">
      <pivotArea dataOnly="0" labelOnly="1" grandCol="1" outline="0" fieldPosition="0"/>
    </format>
    <format dxfId="116">
      <pivotArea field="4" type="button" dataOnly="0" labelOnly="1" outline="0" axis="axisRow" fieldPosition="0"/>
    </format>
    <format dxfId="115">
      <pivotArea dataOnly="0" labelOnly="1" outline="0" fieldPosition="0">
        <references count="1">
          <reference field="5" count="0"/>
        </references>
      </pivotArea>
    </format>
    <format dxfId="114">
      <pivotArea dataOnly="0" labelOnly="1" grandCol="1" outline="0" fieldPosition="0"/>
    </format>
    <format dxfId="113">
      <pivotArea field="4" type="button" dataOnly="0" labelOnly="1" outline="0" axis="axisRow" fieldPosition="0"/>
    </format>
    <format dxfId="112">
      <pivotArea dataOnly="0" labelOnly="1" outline="0" fieldPosition="0">
        <references count="1">
          <reference field="5" count="0"/>
        </references>
      </pivotArea>
    </format>
    <format dxfId="111">
      <pivotArea dataOnly="0" labelOnly="1" grandCol="1" outline="0" fieldPosition="0"/>
    </format>
    <format dxfId="110">
      <pivotArea dataOnly="0" labelOnly="1" grandRow="1" outline="0" fieldPosition="0"/>
    </format>
    <format dxfId="109">
      <pivotArea outline="0" fieldPosition="0"/>
    </format>
    <format dxfId="108">
      <pivotArea type="all" dataOnly="0" outline="0" fieldPosition="0"/>
    </format>
    <format dxfId="107">
      <pivotArea type="all" dataOnly="0" outline="0" fieldPosition="0"/>
    </format>
    <format dxfId="106">
      <pivotArea type="all" dataOnly="0" outline="0" fieldPosition="0"/>
    </format>
    <format dxfId="105">
      <pivotArea type="all" dataOnly="0" outline="0" fieldPosition="0"/>
    </format>
    <format dxfId="10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8" cacheId="7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05:D111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3"/>
        <item x="4"/>
        <item x="2"/>
        <item x="1"/>
        <item h="1" x="0"/>
        <item t="default"/>
      </items>
    </pivotField>
    <pivotField axis="axisCol" compact="0" outline="0" subtotalTop="0" showAll="0" includeNewItemsInFilter="1">
      <items count="4"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Weight(LBS)" fld="7" baseField="0" baseItem="0" numFmtId="1"/>
  </dataFields>
  <formats count="17">
    <format dxfId="137">
      <pivotArea dataOnly="0" labelOnly="1" grandCol="1" outline="0" fieldPosition="0"/>
    </format>
    <format dxfId="136">
      <pivotArea field="4" type="button" dataOnly="0" labelOnly="1" outline="0" axis="axisRow" fieldPosition="0"/>
    </format>
    <format dxfId="135">
      <pivotArea dataOnly="0" labelOnly="1" outline="0" fieldPosition="0">
        <references count="1">
          <reference field="5" count="0"/>
        </references>
      </pivotArea>
    </format>
    <format dxfId="134">
      <pivotArea dataOnly="0" labelOnly="1" grandCol="1" outline="0" fieldPosition="0"/>
    </format>
    <format dxfId="133">
      <pivotArea field="4" type="button" dataOnly="0" labelOnly="1" outline="0" axis="axisRow" fieldPosition="0"/>
    </format>
    <format dxfId="132">
      <pivotArea dataOnly="0" labelOnly="1" outline="0" fieldPosition="0">
        <references count="1">
          <reference field="5" count="0"/>
        </references>
      </pivotArea>
    </format>
    <format dxfId="131">
      <pivotArea dataOnly="0" labelOnly="1" grandCol="1" outline="0" fieldPosition="0"/>
    </format>
    <format dxfId="130">
      <pivotArea field="4" type="button" dataOnly="0" labelOnly="1" outline="0" axis="axisRow" fieldPosition="0"/>
    </format>
    <format dxfId="129">
      <pivotArea dataOnly="0" labelOnly="1" outline="0" fieldPosition="0">
        <references count="1">
          <reference field="5" count="0"/>
        </references>
      </pivotArea>
    </format>
    <format dxfId="128">
      <pivotArea dataOnly="0" labelOnly="1" grandCol="1" outline="0" fieldPosition="0"/>
    </format>
    <format dxfId="127">
      <pivotArea dataOnly="0" labelOnly="1" grandRow="1" outline="0" fieldPosition="0"/>
    </format>
    <format dxfId="126">
      <pivotArea outline="0" fieldPosition="0"/>
    </format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1" cacheId="1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41:E150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7"/>
        <item x="2"/>
        <item x="4"/>
        <item x="5"/>
        <item x="3"/>
        <item x="1"/>
        <item x="6"/>
        <item h="1" x="0"/>
        <item t="default"/>
      </items>
    </pivotField>
    <pivotField axis="axisCol" compact="0" outline="0" subtotalTop="0" showAll="0" includeNewItemsInFilter="1">
      <items count="5">
        <item x="3"/>
        <item x="2"/>
        <item x="1"/>
        <item h="1" x="0"/>
        <item t="default"/>
      </items>
    </pivotField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Weight(LBS)" fld="7" baseField="0" baseItem="0" numFmtId="1"/>
  </dataFields>
  <formats count="17">
    <format dxfId="154">
      <pivotArea dataOnly="0" labelOnly="1" grandCol="1" outline="0" fieldPosition="0"/>
    </format>
    <format dxfId="153">
      <pivotArea field="4" type="button" dataOnly="0" labelOnly="1" outline="0" axis="axisRow" fieldPosition="0"/>
    </format>
    <format dxfId="152">
      <pivotArea dataOnly="0" labelOnly="1" outline="0" fieldPosition="0">
        <references count="1">
          <reference field="5" count="0"/>
        </references>
      </pivotArea>
    </format>
    <format dxfId="151">
      <pivotArea dataOnly="0" labelOnly="1" grandCol="1" outline="0" fieldPosition="0"/>
    </format>
    <format dxfId="150">
      <pivotArea field="4" type="button" dataOnly="0" labelOnly="1" outline="0" axis="axisRow" fieldPosition="0"/>
    </format>
    <format dxfId="149">
      <pivotArea dataOnly="0" labelOnly="1" outline="0" fieldPosition="0">
        <references count="1">
          <reference field="5" count="0"/>
        </references>
      </pivotArea>
    </format>
    <format dxfId="148">
      <pivotArea dataOnly="0" labelOnly="1" grandCol="1" outline="0" fieldPosition="0"/>
    </format>
    <format dxfId="147">
      <pivotArea field="4" type="button" dataOnly="0" labelOnly="1" outline="0" axis="axisRow" fieldPosition="0"/>
    </format>
    <format dxfId="146">
      <pivotArea dataOnly="0" labelOnly="1" outline="0" fieldPosition="0">
        <references count="1">
          <reference field="5" count="0"/>
        </references>
      </pivotArea>
    </format>
    <format dxfId="145">
      <pivotArea dataOnly="0" labelOnly="1" grandCol="1" outline="0" fieldPosition="0"/>
    </format>
    <format dxfId="144">
      <pivotArea dataOnly="0" labelOnly="1" grandRow="1" outline="0" fieldPosition="0"/>
    </format>
    <format dxfId="143">
      <pivotArea outline="0" fieldPosition="0"/>
    </format>
    <format dxfId="142">
      <pivotArea type="all" dataOnly="0" outline="0" fieldPosition="0"/>
    </format>
    <format dxfId="141">
      <pivotArea type="all" dataOnly="0" outline="0" fieldPosition="0"/>
    </format>
    <format dxfId="140">
      <pivotArea type="all" dataOnly="0" outline="0" fieldPosition="0"/>
    </format>
    <format dxfId="139">
      <pivotArea type="all" dataOnly="0" outline="0" fieldPosition="0"/>
    </format>
    <format dxfId="138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1#8@ BOT EW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#5@12 BOT LW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#5@12 BOT LW" TargetMode="External"/><Relationship Id="rId1" Type="http://schemas.openxmlformats.org/officeDocument/2006/relationships/hyperlink" Target="mailto:#5@12 BOT LW" TargetMode="External"/><Relationship Id="rId6" Type="http://schemas.openxmlformats.org/officeDocument/2006/relationships/hyperlink" Target="mailto:#5@12 COR BAR" TargetMode="External"/><Relationship Id="rId5" Type="http://schemas.openxmlformats.org/officeDocument/2006/relationships/hyperlink" Target="mailto:#5@12 COR BAR" TargetMode="External"/><Relationship Id="rId4" Type="http://schemas.openxmlformats.org/officeDocument/2006/relationships/hyperlink" Target="mailto:#5@12 COR BA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#4@16&quot; BOT EW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Q51"/>
  <sheetViews>
    <sheetView view="pageBreakPreview" zoomScale="115" zoomScaleSheetLayoutView="115" workbookViewId="0">
      <selection activeCell="C29" sqref="C29"/>
    </sheetView>
  </sheetViews>
  <sheetFormatPr defaultRowHeight="12.75"/>
  <cols>
    <col min="2" max="2" width="10.85546875" bestFit="1" customWidth="1"/>
    <col min="3" max="3" width="19" bestFit="1" customWidth="1"/>
    <col min="8" max="8" width="9.42578125" bestFit="1" customWidth="1"/>
  </cols>
  <sheetData>
    <row r="2" spans="1:199" ht="20.25">
      <c r="C2" s="196" t="s">
        <v>0</v>
      </c>
      <c r="D2" s="196"/>
      <c r="E2" s="196"/>
      <c r="F2" s="196"/>
      <c r="G2" s="196"/>
    </row>
    <row r="3" spans="1:199" ht="15" customHeight="1">
      <c r="B3" s="197" t="s">
        <v>27</v>
      </c>
      <c r="C3" s="197"/>
      <c r="D3" s="197"/>
      <c r="E3" s="197"/>
      <c r="F3" s="197"/>
      <c r="G3" s="197"/>
      <c r="H3" s="197"/>
    </row>
    <row r="4" spans="1:199" ht="15">
      <c r="B4" t="s">
        <v>18</v>
      </c>
      <c r="D4" s="7" t="s">
        <v>25</v>
      </c>
      <c r="E4" s="8"/>
      <c r="F4" s="7"/>
    </row>
    <row r="6" spans="1:199">
      <c r="A6" s="18" t="s">
        <v>19</v>
      </c>
      <c r="F6" s="18" t="s">
        <v>1</v>
      </c>
    </row>
    <row r="7" spans="1:199">
      <c r="A7" s="18" t="s">
        <v>20</v>
      </c>
      <c r="B7" s="9">
        <v>42236</v>
      </c>
      <c r="C7" s="10"/>
      <c r="F7" s="18" t="s">
        <v>2</v>
      </c>
    </row>
    <row r="8" spans="1:199">
      <c r="I8" s="1"/>
    </row>
    <row r="9" spans="1:199" ht="13.5" thickBot="1">
      <c r="A9" s="11"/>
      <c r="E9" s="11"/>
      <c r="F9" s="11"/>
      <c r="G9" s="11"/>
      <c r="I9" s="11"/>
      <c r="N9" s="3"/>
    </row>
    <row r="10" spans="1:199" ht="13.5" thickTop="1">
      <c r="A10" s="1"/>
      <c r="B10" s="12"/>
      <c r="C10" s="12"/>
      <c r="D10" s="12"/>
      <c r="E10" s="1"/>
      <c r="F10" s="1"/>
      <c r="G10" s="1"/>
      <c r="H10" s="12"/>
      <c r="I10" s="1"/>
      <c r="J10" s="1"/>
    </row>
    <row r="11" spans="1:199">
      <c r="A11" s="13" t="s">
        <v>3</v>
      </c>
      <c r="B11" s="19" t="str">
        <f>B3</f>
        <v>HAMPSTEAD HEATH APARTMENTS</v>
      </c>
      <c r="C11" s="19"/>
      <c r="D11" s="19"/>
      <c r="E11" s="19"/>
      <c r="F11" s="19"/>
      <c r="G11" s="19"/>
      <c r="H11" s="19"/>
      <c r="I11" s="1"/>
      <c r="J11" s="1"/>
    </row>
    <row r="12" spans="1:199">
      <c r="A12" s="1"/>
      <c r="B12" s="6" t="s">
        <v>26</v>
      </c>
      <c r="C12" s="1"/>
      <c r="D12" s="1"/>
      <c r="E12" s="1"/>
      <c r="F12" s="1"/>
      <c r="G12" s="1"/>
      <c r="H12" s="1"/>
      <c r="I12" s="1"/>
      <c r="J12" s="1"/>
    </row>
    <row r="13" spans="1:199">
      <c r="A13" s="1"/>
      <c r="B13" s="6" t="s">
        <v>34</v>
      </c>
      <c r="C13" s="1"/>
      <c r="D13" s="1"/>
      <c r="E13" s="1"/>
      <c r="F13" s="1"/>
      <c r="G13" s="1"/>
      <c r="H13" s="1"/>
      <c r="I13" s="1"/>
      <c r="J13" s="1"/>
    </row>
    <row r="14" spans="1:199">
      <c r="A14" s="1"/>
      <c r="B14" s="6"/>
      <c r="C14" s="1"/>
      <c r="D14" s="1"/>
      <c r="E14" s="1"/>
      <c r="F14" s="1"/>
      <c r="G14" s="1"/>
      <c r="H14" s="1"/>
      <c r="I14" s="1"/>
      <c r="J14" s="1" t="s">
        <v>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</row>
    <row r="15" spans="1:199">
      <c r="A15" s="13" t="s">
        <v>21</v>
      </c>
      <c r="B15" s="15" t="s">
        <v>28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99">
      <c r="A16" s="13" t="s">
        <v>5</v>
      </c>
      <c r="B16" s="15" t="s">
        <v>35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3" t="s">
        <v>4</v>
      </c>
      <c r="B17" s="20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3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3" t="s">
        <v>23</v>
      </c>
      <c r="B19" s="15" t="s">
        <v>29</v>
      </c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3" t="s">
        <v>5</v>
      </c>
      <c r="B20" s="15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3" t="s">
        <v>4</v>
      </c>
      <c r="B21" s="15" t="s">
        <v>619</v>
      </c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3.5" thickBot="1">
      <c r="A22" s="11"/>
      <c r="B22" s="11"/>
      <c r="C22" s="11"/>
      <c r="D22" s="11"/>
      <c r="E22" s="11"/>
      <c r="F22" s="11"/>
      <c r="G22" s="11"/>
      <c r="H22" s="11"/>
      <c r="I22" s="11"/>
      <c r="K22" s="1"/>
      <c r="L22" s="1"/>
      <c r="M22" s="1"/>
    </row>
    <row r="23" spans="1:13" ht="13.5" thickTop="1">
      <c r="C23" s="14"/>
    </row>
    <row r="25" spans="1:13">
      <c r="A25" s="18" t="s">
        <v>6</v>
      </c>
    </row>
    <row r="26" spans="1:13">
      <c r="B26" t="s">
        <v>16</v>
      </c>
    </row>
    <row r="28" spans="1:13">
      <c r="A28" s="18" t="s">
        <v>7</v>
      </c>
    </row>
    <row r="29" spans="1:13">
      <c r="B29" s="3" t="s">
        <v>17</v>
      </c>
    </row>
    <row r="30" spans="1:13">
      <c r="B30" s="3"/>
      <c r="C30" s="2"/>
      <c r="D30" s="2"/>
    </row>
    <row r="31" spans="1:13">
      <c r="A31" s="18" t="s">
        <v>13</v>
      </c>
    </row>
    <row r="32" spans="1:13">
      <c r="A32" s="18"/>
      <c r="B32" s="3" t="s">
        <v>30</v>
      </c>
    </row>
    <row r="33" spans="1:2">
      <c r="A33" s="18"/>
      <c r="B33" s="3"/>
    </row>
    <row r="34" spans="1:2">
      <c r="A34" s="18" t="s">
        <v>8</v>
      </c>
    </row>
    <row r="35" spans="1:2">
      <c r="B35" s="3" t="s">
        <v>37</v>
      </c>
    </row>
    <row r="36" spans="1:2">
      <c r="A36" s="18"/>
      <c r="B36" s="3" t="s">
        <v>38</v>
      </c>
    </row>
    <row r="37" spans="1:2">
      <c r="A37" s="18"/>
      <c r="B37" s="3"/>
    </row>
    <row r="38" spans="1:2">
      <c r="A38" s="18" t="s">
        <v>11</v>
      </c>
      <c r="B38" s="16"/>
    </row>
    <row r="39" spans="1:2">
      <c r="B39" s="16" t="s">
        <v>24</v>
      </c>
    </row>
    <row r="40" spans="1:2">
      <c r="B40" s="16" t="s">
        <v>33</v>
      </c>
    </row>
    <row r="41" spans="1:2">
      <c r="B41" s="16" t="s">
        <v>31</v>
      </c>
    </row>
    <row r="42" spans="1:2">
      <c r="B42" s="16" t="s">
        <v>32</v>
      </c>
    </row>
    <row r="43" spans="1:2">
      <c r="B43" s="5"/>
    </row>
    <row r="44" spans="1:2">
      <c r="A44" s="198" t="s">
        <v>9</v>
      </c>
      <c r="B44" s="198"/>
    </row>
    <row r="45" spans="1:2">
      <c r="B45" s="17" t="s">
        <v>39</v>
      </c>
    </row>
    <row r="46" spans="1:2">
      <c r="B46" s="17" t="s">
        <v>618</v>
      </c>
    </row>
    <row r="47" spans="1:2">
      <c r="B47" s="17" t="s">
        <v>533</v>
      </c>
    </row>
    <row r="48" spans="1:2">
      <c r="B48" s="17"/>
    </row>
    <row r="49" spans="1:2">
      <c r="A49" s="18" t="s">
        <v>10</v>
      </c>
    </row>
    <row r="50" spans="1:2">
      <c r="B50" s="4" t="s">
        <v>14</v>
      </c>
    </row>
    <row r="51" spans="1:2">
      <c r="B51" s="4" t="s">
        <v>15</v>
      </c>
    </row>
  </sheetData>
  <mergeCells count="3">
    <mergeCell ref="C2:G2"/>
    <mergeCell ref="B3:H3"/>
    <mergeCell ref="A44:B44"/>
  </mergeCells>
  <printOptions horizontalCentered="1" verticalCentered="1"/>
  <pageMargins left="0.7" right="0.7" top="0.5" bottom="0.75" header="0.3" footer="0.3"/>
  <pageSetup paperSize="9" scale="94" orientation="portrait" r:id="rId1"/>
  <headerFooter alignWithMargins="0">
    <oddFooter>&amp;LSimsona Corp Estimation&amp;RPage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1:CL64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C67" sqref="C67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532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I59/2000</f>
        <v>0.56249210999999999</v>
      </c>
      <c r="AK8" s="51" t="s">
        <v>52</v>
      </c>
    </row>
    <row r="9" spans="2:90" ht="12.75" customHeight="1">
      <c r="B9" s="26">
        <f>IF(B8="SL.NO",1,B8+1)</f>
        <v>1</v>
      </c>
      <c r="C9" s="135" t="s">
        <v>365</v>
      </c>
      <c r="D9" s="136"/>
      <c r="E9" s="136"/>
      <c r="F9" s="137"/>
      <c r="G9" s="40"/>
      <c r="H9" s="138"/>
      <c r="I9" s="55">
        <f t="shared" ref="I9:I58" si="0">IF(D9="",AK9*H9*E9,AK9*H9*E9*D9)</f>
        <v>0</v>
      </c>
      <c r="J9" s="56"/>
      <c r="AK9" s="44">
        <f t="shared" ref="AK9:AK59" si="1">IF(F9="",0,VLOOKUP(F9,$CI$16:$CJ$58,2,FALSE))</f>
        <v>0</v>
      </c>
    </row>
    <row r="10" spans="2:90" ht="12.75" customHeight="1">
      <c r="B10" s="26">
        <f t="shared" ref="B10:B58" si="2">IF(B9="SL.NO",1,B9+1)</f>
        <v>2</v>
      </c>
      <c r="C10" s="101" t="s">
        <v>342</v>
      </c>
      <c r="D10" s="22"/>
      <c r="E10" s="22"/>
      <c r="F10" s="139"/>
      <c r="G10" s="40"/>
      <c r="H10" s="27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101" t="s">
        <v>366</v>
      </c>
      <c r="D11" s="22"/>
      <c r="E11" s="22"/>
      <c r="F11" s="141"/>
      <c r="G11" s="142"/>
      <c r="H11" s="143"/>
      <c r="I11" s="55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140" t="s">
        <v>367</v>
      </c>
      <c r="D12" s="22"/>
      <c r="E12" s="22"/>
      <c r="F12" s="141"/>
      <c r="G12" s="142"/>
      <c r="H12" s="143"/>
      <c r="I12" s="55">
        <f t="shared" si="0"/>
        <v>0</v>
      </c>
      <c r="J12" s="59"/>
      <c r="K12" s="4"/>
      <c r="M12" s="4"/>
      <c r="N12" s="4"/>
      <c r="O12" s="4"/>
      <c r="P12" s="4"/>
      <c r="Q12" s="4"/>
      <c r="AK12" s="44">
        <f t="shared" si="1"/>
        <v>0</v>
      </c>
    </row>
    <row r="13" spans="2:90" ht="12.75" customHeight="1">
      <c r="B13" s="26">
        <f t="shared" si="2"/>
        <v>5</v>
      </c>
      <c r="C13" s="41" t="s">
        <v>345</v>
      </c>
      <c r="D13" s="35"/>
      <c r="E13" s="35">
        <v>4</v>
      </c>
      <c r="F13" s="36">
        <v>9</v>
      </c>
      <c r="G13" s="144" t="s">
        <v>57</v>
      </c>
      <c r="H13" s="37">
        <f>27-0.125+4</f>
        <v>30.875</v>
      </c>
      <c r="I13" s="55">
        <f t="shared" si="0"/>
        <v>419.9</v>
      </c>
      <c r="J13" s="59"/>
      <c r="K13" s="4"/>
      <c r="M13" s="4"/>
      <c r="N13" s="4"/>
      <c r="O13" s="5"/>
      <c r="P13" s="4"/>
      <c r="Q13" s="4"/>
      <c r="AK13" s="44">
        <f t="shared" si="1"/>
        <v>3.4</v>
      </c>
    </row>
    <row r="14" spans="2:90" ht="12.75" customHeight="1" thickBot="1">
      <c r="B14" s="26">
        <f t="shared" si="2"/>
        <v>6</v>
      </c>
      <c r="C14" s="41" t="s">
        <v>346</v>
      </c>
      <c r="D14" s="35"/>
      <c r="E14" s="35">
        <v>2</v>
      </c>
      <c r="F14" s="36">
        <v>8</v>
      </c>
      <c r="G14" s="144" t="s">
        <v>65</v>
      </c>
      <c r="H14" s="37">
        <f>27-0.125+3.25</f>
        <v>30.125</v>
      </c>
      <c r="I14" s="55">
        <f t="shared" si="0"/>
        <v>160.86750000000001</v>
      </c>
      <c r="J14" s="59"/>
      <c r="K14" s="4"/>
      <c r="M14" s="4"/>
      <c r="N14" s="4"/>
      <c r="O14" s="4"/>
      <c r="P14" s="4"/>
      <c r="Q14" s="4"/>
      <c r="AK14" s="44">
        <f t="shared" si="1"/>
        <v>2.67</v>
      </c>
    </row>
    <row r="15" spans="2:90" ht="12.75" customHeight="1">
      <c r="B15" s="26">
        <f t="shared" si="2"/>
        <v>7</v>
      </c>
      <c r="C15" s="41" t="s">
        <v>368</v>
      </c>
      <c r="D15" s="35"/>
      <c r="E15" s="35">
        <f>TRUNC(16.25/0.5+1.9)</f>
        <v>34</v>
      </c>
      <c r="F15" s="36">
        <v>3</v>
      </c>
      <c r="G15" s="144" t="s">
        <v>65</v>
      </c>
      <c r="H15" s="37">
        <f>(1-0.125*2)*2+(3.5-0.125*2)*2+0.33*2</f>
        <v>8.66</v>
      </c>
      <c r="I15" s="55">
        <f t="shared" si="0"/>
        <v>110.70944</v>
      </c>
      <c r="J15" s="59"/>
      <c r="K15" s="4"/>
      <c r="M15" s="4"/>
      <c r="N15" s="4"/>
      <c r="O15" s="4"/>
      <c r="P15" s="4"/>
      <c r="Q15" s="4"/>
      <c r="AK15" s="44">
        <f t="shared" si="1"/>
        <v>0.376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140" t="s">
        <v>369</v>
      </c>
      <c r="D16" s="22"/>
      <c r="E16" s="22"/>
      <c r="F16" s="141"/>
      <c r="G16" s="142"/>
      <c r="H16" s="143"/>
      <c r="I16" s="55">
        <f t="shared" si="0"/>
        <v>0</v>
      </c>
      <c r="J16" s="59"/>
      <c r="K16" s="4"/>
      <c r="M16" s="4"/>
      <c r="N16" s="4"/>
      <c r="O16" s="62"/>
      <c r="P16" s="4"/>
      <c r="Q16" s="4"/>
      <c r="AK16" s="44">
        <f t="shared" si="1"/>
        <v>0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41" t="s">
        <v>313</v>
      </c>
      <c r="D17" s="35"/>
      <c r="E17" s="35">
        <v>4</v>
      </c>
      <c r="F17" s="36">
        <v>8</v>
      </c>
      <c r="G17" s="144" t="s">
        <v>57</v>
      </c>
      <c r="H17" s="37">
        <f>18.75-0.125+5.16</f>
        <v>23.785</v>
      </c>
      <c r="I17" s="55">
        <f t="shared" si="0"/>
        <v>254.02379999999999</v>
      </c>
      <c r="J17" s="59"/>
      <c r="K17" s="4"/>
      <c r="M17" s="4"/>
      <c r="N17" s="4"/>
      <c r="O17" s="62"/>
      <c r="P17" s="4"/>
      <c r="Q17" s="4"/>
      <c r="AK17" s="44">
        <f t="shared" si="1"/>
        <v>2.67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41" t="s">
        <v>370</v>
      </c>
      <c r="D18" s="35"/>
      <c r="E18" s="35">
        <v>2</v>
      </c>
      <c r="F18" s="36">
        <v>7</v>
      </c>
      <c r="G18" s="144" t="s">
        <v>65</v>
      </c>
      <c r="H18" s="37">
        <f>18.75-0.125+5.83+1.75</f>
        <v>26.204999999999998</v>
      </c>
      <c r="I18" s="55">
        <f t="shared" si="0"/>
        <v>107.12603999999999</v>
      </c>
      <c r="J18" s="59"/>
      <c r="K18" s="4"/>
      <c r="M18" s="4"/>
      <c r="N18" s="4"/>
      <c r="O18" s="62"/>
      <c r="P18" s="65"/>
      <c r="Q18" s="4"/>
      <c r="AK18" s="44">
        <f t="shared" si="1"/>
        <v>2.044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41" t="s">
        <v>368</v>
      </c>
      <c r="D19" s="35"/>
      <c r="E19" s="35">
        <f>TRUNC(16.25/0.5+1.9)</f>
        <v>34</v>
      </c>
      <c r="F19" s="36">
        <v>3</v>
      </c>
      <c r="G19" s="144" t="s">
        <v>65</v>
      </c>
      <c r="H19" s="37">
        <f>(1-0.125*2)*2+(2-0.125*2)*2+0.33*2</f>
        <v>5.66</v>
      </c>
      <c r="I19" s="55">
        <f t="shared" si="0"/>
        <v>72.357440000000011</v>
      </c>
      <c r="J19" s="59"/>
      <c r="K19" s="4"/>
      <c r="M19" s="4"/>
      <c r="N19" s="4"/>
      <c r="O19" s="62"/>
      <c r="P19" s="65"/>
      <c r="Q19" s="4"/>
      <c r="AK19" s="44">
        <f t="shared" si="1"/>
        <v>0.376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40"/>
      <c r="D20" s="22"/>
      <c r="E20" s="22"/>
      <c r="F20" s="141"/>
      <c r="G20" s="142"/>
      <c r="H20" s="143"/>
      <c r="I20" s="55">
        <f t="shared" si="0"/>
        <v>0</v>
      </c>
      <c r="J20" s="59"/>
      <c r="K20" s="4"/>
      <c r="M20" s="4"/>
      <c r="N20" s="4"/>
      <c r="O20" s="62"/>
      <c r="P20" s="65"/>
      <c r="Q20" s="4"/>
      <c r="AK20" s="44">
        <f t="shared" si="1"/>
        <v>0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41"/>
      <c r="D21" s="35"/>
      <c r="E21" s="35"/>
      <c r="F21" s="36"/>
      <c r="G21" s="144"/>
      <c r="H21" s="37"/>
      <c r="I21" s="55">
        <f>IF(D21="",AK21*H21*E21,AK21*H21*E21*D21)</f>
        <v>0</v>
      </c>
      <c r="J21" s="59"/>
      <c r="K21" s="4"/>
      <c r="M21" s="4"/>
      <c r="N21" s="4"/>
      <c r="O21" s="62"/>
      <c r="P21" s="4"/>
      <c r="Q21" s="4"/>
      <c r="AK21" s="44">
        <f t="shared" si="1"/>
        <v>0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41"/>
      <c r="D22" s="35"/>
      <c r="E22" s="35"/>
      <c r="F22" s="36"/>
      <c r="G22" s="144"/>
      <c r="H22" s="37"/>
      <c r="I22" s="55">
        <f t="shared" si="0"/>
        <v>0</v>
      </c>
      <c r="J22" s="59"/>
      <c r="K22" s="4"/>
      <c r="M22" s="4"/>
      <c r="N22" s="4"/>
      <c r="O22" s="69"/>
      <c r="P22" s="4"/>
      <c r="Q22" s="4"/>
      <c r="AK22" s="44">
        <f t="shared" si="1"/>
        <v>0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41"/>
      <c r="D23" s="35"/>
      <c r="E23" s="35"/>
      <c r="F23" s="36"/>
      <c r="G23" s="144"/>
      <c r="H23" s="37"/>
      <c r="I23" s="55">
        <f t="shared" si="0"/>
        <v>0</v>
      </c>
      <c r="J23" s="59"/>
      <c r="K23" s="4"/>
      <c r="M23" s="4"/>
      <c r="N23" s="4"/>
      <c r="O23" s="62"/>
      <c r="P23" s="4"/>
      <c r="Q23" s="4"/>
      <c r="AK23" s="44">
        <f t="shared" si="1"/>
        <v>0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140"/>
      <c r="D24" s="22"/>
      <c r="E24" s="22"/>
      <c r="F24" s="141"/>
      <c r="G24" s="142"/>
      <c r="H24" s="143"/>
      <c r="I24" s="55">
        <f t="shared" si="0"/>
        <v>0</v>
      </c>
      <c r="J24" s="59"/>
      <c r="K24" s="4"/>
      <c r="M24" s="4"/>
      <c r="N24" s="4"/>
      <c r="O24" s="4"/>
      <c r="P24" s="4"/>
      <c r="Q24" s="4"/>
      <c r="AK24" s="44">
        <f t="shared" si="1"/>
        <v>0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41"/>
      <c r="D25" s="35"/>
      <c r="E25" s="35"/>
      <c r="F25" s="36"/>
      <c r="G25" s="144"/>
      <c r="H25" s="37"/>
      <c r="I25" s="55">
        <f t="shared" si="0"/>
        <v>0</v>
      </c>
      <c r="J25" s="59"/>
      <c r="K25" s="4"/>
      <c r="M25" s="4"/>
      <c r="N25" s="4"/>
      <c r="O25" s="4"/>
      <c r="P25" s="4"/>
      <c r="Q25" s="4"/>
      <c r="AK25" s="44">
        <f t="shared" si="1"/>
        <v>0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41"/>
      <c r="D26" s="35"/>
      <c r="E26" s="35"/>
      <c r="F26" s="36"/>
      <c r="G26" s="144"/>
      <c r="H26" s="37"/>
      <c r="I26" s="55">
        <f t="shared" si="0"/>
        <v>0</v>
      </c>
      <c r="J26" s="59"/>
      <c r="K26" s="4"/>
      <c r="M26" s="4"/>
      <c r="N26" s="4"/>
      <c r="O26" s="4"/>
      <c r="P26" s="4"/>
      <c r="Q26" s="4"/>
      <c r="AK26" s="44">
        <f t="shared" si="1"/>
        <v>0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41"/>
      <c r="D27" s="35"/>
      <c r="E27" s="35"/>
      <c r="F27" s="36"/>
      <c r="G27" s="144"/>
      <c r="H27" s="37"/>
      <c r="I27" s="55">
        <f t="shared" si="0"/>
        <v>0</v>
      </c>
      <c r="J27" s="59"/>
      <c r="K27" s="4"/>
      <c r="M27" s="4"/>
      <c r="N27" s="4"/>
      <c r="O27" s="4"/>
      <c r="P27" s="4"/>
      <c r="Q27" s="4"/>
      <c r="AK27" s="44">
        <f t="shared" si="1"/>
        <v>0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41"/>
      <c r="D28" s="22"/>
      <c r="E28" s="22"/>
      <c r="F28" s="141"/>
      <c r="G28" s="142"/>
      <c r="H28" s="143"/>
      <c r="I28" s="55">
        <f t="shared" si="0"/>
        <v>0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0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41"/>
      <c r="D29" s="35"/>
      <c r="E29" s="35"/>
      <c r="F29" s="36"/>
      <c r="G29" s="144"/>
      <c r="H29" s="37"/>
      <c r="I29" s="55">
        <f t="shared" si="0"/>
        <v>0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140"/>
      <c r="D30" s="22"/>
      <c r="E30" s="22"/>
      <c r="F30" s="141"/>
      <c r="G30" s="142"/>
      <c r="H30" s="143"/>
      <c r="I30" s="55">
        <f t="shared" si="0"/>
        <v>0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0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41"/>
      <c r="D31" s="35"/>
      <c r="E31" s="35"/>
      <c r="F31" s="36"/>
      <c r="G31" s="144"/>
      <c r="H31" s="37"/>
      <c r="I31" s="55">
        <f t="shared" si="0"/>
        <v>0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0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41"/>
      <c r="D32" s="35"/>
      <c r="E32" s="35"/>
      <c r="F32" s="36"/>
      <c r="G32" s="144"/>
      <c r="H32" s="37"/>
      <c r="I32" s="55">
        <f t="shared" si="0"/>
        <v>0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0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41"/>
      <c r="D33" s="35"/>
      <c r="E33" s="35"/>
      <c r="F33" s="36"/>
      <c r="G33" s="144"/>
      <c r="H33" s="37"/>
      <c r="I33" s="55">
        <f t="shared" si="0"/>
        <v>0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140"/>
      <c r="D34" s="22"/>
      <c r="E34" s="22"/>
      <c r="F34" s="141"/>
      <c r="G34" s="142"/>
      <c r="H34" s="143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41"/>
      <c r="D35" s="35"/>
      <c r="E35" s="35"/>
      <c r="F35" s="36"/>
      <c r="G35" s="144"/>
      <c r="H35" s="37"/>
      <c r="I35" s="55">
        <f t="shared" si="0"/>
        <v>0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0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41"/>
      <c r="D36" s="35"/>
      <c r="E36" s="35"/>
      <c r="F36" s="36"/>
      <c r="G36" s="144"/>
      <c r="H36" s="37"/>
      <c r="I36" s="55">
        <f t="shared" si="0"/>
        <v>0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0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41"/>
      <c r="D37" s="35"/>
      <c r="E37" s="35"/>
      <c r="F37" s="36"/>
      <c r="G37" s="144"/>
      <c r="H37" s="37"/>
      <c r="I37" s="55">
        <f t="shared" si="0"/>
        <v>0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0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38"/>
      <c r="D38" s="35"/>
      <c r="E38" s="35"/>
      <c r="F38" s="36"/>
      <c r="G38" s="144"/>
      <c r="H38" s="37"/>
      <c r="I38" s="55">
        <f t="shared" si="0"/>
        <v>0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41"/>
      <c r="D39" s="35"/>
      <c r="E39" s="35"/>
      <c r="F39" s="36"/>
      <c r="G39" s="144"/>
      <c r="H39" s="37"/>
      <c r="I39" s="55">
        <f t="shared" si="0"/>
        <v>0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0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145"/>
      <c r="D40" s="144"/>
      <c r="E40" s="144"/>
      <c r="F40" s="146"/>
      <c r="G40" s="144"/>
      <c r="H40" s="138"/>
      <c r="I40" s="55">
        <f t="shared" si="0"/>
        <v>0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147"/>
      <c r="D41" s="35"/>
      <c r="E41" s="35"/>
      <c r="F41" s="36"/>
      <c r="G41" s="144"/>
      <c r="H41" s="27"/>
      <c r="I41" s="55">
        <f t="shared" si="0"/>
        <v>0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0</v>
      </c>
    </row>
    <row r="42" spans="2:88" ht="12.75" customHeight="1">
      <c r="B42" s="26">
        <f t="shared" si="2"/>
        <v>34</v>
      </c>
      <c r="C42" s="140"/>
      <c r="D42" s="22"/>
      <c r="E42" s="22"/>
      <c r="F42" s="141"/>
      <c r="G42" s="142"/>
      <c r="H42" s="143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</v>
      </c>
    </row>
    <row r="43" spans="2:88" ht="12.75" customHeight="1">
      <c r="B43" s="26">
        <f t="shared" si="2"/>
        <v>35</v>
      </c>
      <c r="C43" s="140"/>
      <c r="D43" s="22"/>
      <c r="E43" s="22"/>
      <c r="F43" s="141"/>
      <c r="G43" s="142"/>
      <c r="H43" s="143"/>
      <c r="I43" s="55">
        <f t="shared" si="0"/>
        <v>0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0</v>
      </c>
    </row>
    <row r="44" spans="2:88" ht="12.75" customHeight="1">
      <c r="B44" s="26">
        <f t="shared" si="2"/>
        <v>36</v>
      </c>
      <c r="C44" s="41"/>
      <c r="D44" s="35"/>
      <c r="E44" s="35"/>
      <c r="F44" s="36"/>
      <c r="G44" s="144"/>
      <c r="H44" s="37"/>
      <c r="I44" s="55">
        <f t="shared" si="0"/>
        <v>0</v>
      </c>
      <c r="J44" s="59"/>
      <c r="K44" s="4"/>
      <c r="L44" s="3"/>
      <c r="M44" s="34"/>
      <c r="N44" s="34"/>
      <c r="O44" s="4"/>
      <c r="P44" s="4"/>
      <c r="Q44" s="4"/>
      <c r="AK44" s="44">
        <f t="shared" si="1"/>
        <v>0</v>
      </c>
    </row>
    <row r="45" spans="2:88" ht="12.75" customHeight="1">
      <c r="B45" s="26">
        <f t="shared" si="2"/>
        <v>37</v>
      </c>
      <c r="C45" s="41"/>
      <c r="D45" s="35"/>
      <c r="E45" s="35"/>
      <c r="F45" s="36"/>
      <c r="G45" s="144"/>
      <c r="H45" s="37"/>
      <c r="I45" s="55">
        <f t="shared" si="0"/>
        <v>0</v>
      </c>
      <c r="J45" s="59"/>
      <c r="K45" s="4"/>
      <c r="L45" s="3"/>
      <c r="M45" s="34"/>
      <c r="N45" s="3"/>
      <c r="O45" s="4"/>
      <c r="P45" s="4"/>
      <c r="Q45" s="4"/>
      <c r="AK45" s="44">
        <f t="shared" si="1"/>
        <v>0</v>
      </c>
    </row>
    <row r="46" spans="2:88" ht="12.75" customHeight="1">
      <c r="B46" s="26">
        <f t="shared" si="2"/>
        <v>38</v>
      </c>
      <c r="C46" s="41"/>
      <c r="D46" s="35"/>
      <c r="E46" s="35"/>
      <c r="F46" s="36"/>
      <c r="G46" s="144"/>
      <c r="H46" s="37"/>
      <c r="I46" s="55">
        <f t="shared" si="0"/>
        <v>0</v>
      </c>
      <c r="J46" s="59"/>
      <c r="K46" s="4"/>
      <c r="L46" s="3"/>
      <c r="M46" s="34"/>
      <c r="N46" s="34"/>
      <c r="O46" s="4"/>
      <c r="P46" s="4"/>
      <c r="Q46" s="4"/>
      <c r="AK46" s="44">
        <f t="shared" si="1"/>
        <v>0</v>
      </c>
    </row>
    <row r="47" spans="2:88" ht="12.75" customHeight="1">
      <c r="B47" s="26">
        <f t="shared" si="2"/>
        <v>39</v>
      </c>
      <c r="C47" s="140"/>
      <c r="D47" s="22"/>
      <c r="E47" s="22"/>
      <c r="F47" s="141"/>
      <c r="G47" s="142"/>
      <c r="H47" s="143"/>
      <c r="I47" s="55">
        <f t="shared" si="0"/>
        <v>0</v>
      </c>
      <c r="J47" s="59"/>
      <c r="K47" s="4"/>
      <c r="L47" s="3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41"/>
      <c r="D48" s="35"/>
      <c r="E48" s="35"/>
      <c r="F48" s="36"/>
      <c r="G48" s="144"/>
      <c r="H48" s="37"/>
      <c r="I48" s="55">
        <f t="shared" si="0"/>
        <v>0</v>
      </c>
      <c r="J48" s="59"/>
      <c r="K48" s="4"/>
      <c r="M48" s="4"/>
      <c r="N48" s="4"/>
      <c r="O48" s="4"/>
      <c r="P48" s="4"/>
      <c r="Q48" s="4"/>
      <c r="AK48" s="44">
        <f t="shared" si="1"/>
        <v>0</v>
      </c>
    </row>
    <row r="49" spans="2:37" ht="12.75" customHeight="1">
      <c r="B49" s="26">
        <f t="shared" si="2"/>
        <v>41</v>
      </c>
      <c r="C49" s="41"/>
      <c r="D49" s="35"/>
      <c r="E49" s="35"/>
      <c r="F49" s="36"/>
      <c r="G49" s="144"/>
      <c r="H49" s="37"/>
      <c r="I49" s="55">
        <f t="shared" si="0"/>
        <v>0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0</v>
      </c>
    </row>
    <row r="50" spans="2:37" ht="12.75" customHeight="1">
      <c r="B50" s="26">
        <f t="shared" si="2"/>
        <v>42</v>
      </c>
      <c r="C50" s="41"/>
      <c r="D50" s="35"/>
      <c r="E50" s="35"/>
      <c r="F50" s="36"/>
      <c r="G50" s="144"/>
      <c r="H50" s="37"/>
      <c r="I50" s="55">
        <f t="shared" si="0"/>
        <v>0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</v>
      </c>
    </row>
    <row r="51" spans="2:37" ht="12.75" customHeight="1">
      <c r="B51" s="26">
        <f t="shared" si="2"/>
        <v>43</v>
      </c>
      <c r="C51" s="145"/>
      <c r="D51" s="144"/>
      <c r="E51" s="144"/>
      <c r="F51" s="146"/>
      <c r="G51" s="144"/>
      <c r="H51" s="151"/>
      <c r="I51" s="55">
        <f t="shared" si="0"/>
        <v>0</v>
      </c>
      <c r="J51" s="59"/>
      <c r="L51" s="4"/>
      <c r="M51" s="148"/>
      <c r="N51" s="149"/>
      <c r="O51" s="4"/>
      <c r="P51" s="4"/>
      <c r="Q51" s="4"/>
      <c r="AK51" s="44">
        <f t="shared" si="1"/>
        <v>0</v>
      </c>
    </row>
    <row r="52" spans="2:37" ht="12.75" customHeight="1">
      <c r="B52" s="26">
        <f t="shared" si="2"/>
        <v>44</v>
      </c>
      <c r="C52" s="147"/>
      <c r="D52" s="35"/>
      <c r="E52" s="35"/>
      <c r="F52" s="36"/>
      <c r="G52" s="144"/>
      <c r="H52" s="37"/>
      <c r="I52" s="55">
        <f t="shared" si="0"/>
        <v>0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0</v>
      </c>
    </row>
    <row r="53" spans="2:37" ht="12.75" customHeight="1">
      <c r="B53" s="26">
        <f t="shared" si="2"/>
        <v>45</v>
      </c>
      <c r="C53" s="140"/>
      <c r="D53" s="22"/>
      <c r="E53" s="22"/>
      <c r="F53" s="141"/>
      <c r="G53" s="142"/>
      <c r="H53" s="143"/>
      <c r="I53" s="55">
        <f t="shared" si="0"/>
        <v>0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0</v>
      </c>
    </row>
    <row r="54" spans="2:37" ht="12.75" customHeight="1">
      <c r="B54" s="26">
        <f t="shared" si="2"/>
        <v>46</v>
      </c>
      <c r="C54" s="140"/>
      <c r="D54" s="22"/>
      <c r="E54" s="22"/>
      <c r="F54" s="141"/>
      <c r="G54" s="142"/>
      <c r="H54" s="143"/>
      <c r="I54" s="55">
        <f t="shared" si="0"/>
        <v>0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0</v>
      </c>
    </row>
    <row r="55" spans="2:37" ht="12.75" customHeight="1">
      <c r="B55" s="26">
        <f t="shared" si="2"/>
        <v>47</v>
      </c>
      <c r="C55" s="41"/>
      <c r="D55" s="35"/>
      <c r="E55" s="35"/>
      <c r="F55" s="36"/>
      <c r="G55" s="144"/>
      <c r="H55" s="37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41"/>
      <c r="D56" s="35"/>
      <c r="E56" s="35"/>
      <c r="F56" s="36"/>
      <c r="G56" s="144"/>
      <c r="H56" s="37"/>
      <c r="I56" s="55">
        <f t="shared" si="0"/>
        <v>0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0</v>
      </c>
    </row>
    <row r="57" spans="2:37" ht="12.75" customHeight="1">
      <c r="B57" s="26">
        <f t="shared" si="2"/>
        <v>49</v>
      </c>
      <c r="C57" s="41"/>
      <c r="D57" s="35"/>
      <c r="E57" s="35"/>
      <c r="F57" s="36"/>
      <c r="G57" s="144"/>
      <c r="H57" s="37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140"/>
      <c r="D58" s="22"/>
      <c r="E58" s="35"/>
      <c r="F58" s="36"/>
      <c r="G58" s="144"/>
      <c r="H58" s="37"/>
      <c r="I58" s="55">
        <f t="shared" si="0"/>
        <v>0</v>
      </c>
      <c r="J58" s="59"/>
      <c r="K58" s="4"/>
      <c r="L58" s="3"/>
      <c r="M58" s="34"/>
      <c r="N58" s="34"/>
      <c r="O58" s="4"/>
      <c r="P58" s="4"/>
      <c r="Q58" s="4"/>
      <c r="AK58" s="44">
        <f t="shared" si="1"/>
        <v>0</v>
      </c>
    </row>
    <row r="59" spans="2:37" ht="13.5" thickBot="1">
      <c r="E59" s="111"/>
      <c r="F59" s="20"/>
      <c r="G59" s="220"/>
      <c r="H59" s="150" t="s">
        <v>90</v>
      </c>
      <c r="I59" s="89">
        <f>SUM(I9:I58)</f>
        <v>1124.9842200000001</v>
      </c>
      <c r="AK59" s="44">
        <f t="shared" si="1"/>
        <v>0</v>
      </c>
    </row>
    <row r="60" spans="2:37">
      <c r="I60" s="50"/>
    </row>
    <row r="61" spans="2:37">
      <c r="I61" s="44"/>
    </row>
    <row r="62" spans="2:37">
      <c r="I62" s="44"/>
    </row>
    <row r="63" spans="2:37">
      <c r="I63" s="44"/>
    </row>
    <row r="64" spans="2:37">
      <c r="I64" s="44"/>
    </row>
  </sheetData>
  <mergeCells count="4">
    <mergeCell ref="C1:H2"/>
    <mergeCell ref="D4:I4"/>
    <mergeCell ref="D5:I5"/>
    <mergeCell ref="D6:I6"/>
  </mergeCells>
  <dataValidations count="3">
    <dataValidation type="list" allowBlank="1" showInputMessage="1" showErrorMessage="1" sqref="F9:F58">
      <formula1>$CI$16:$CI$38</formula1>
    </dataValidation>
    <dataValidation type="list" allowBlank="1" showInputMessage="1" showErrorMessage="1" sqref="G9:G58">
      <formula1>$CL$15:$CL$24</formula1>
    </dataValidation>
    <dataValidation type="list" allowBlank="1" showInputMessage="1" showErrorMessage="1" sqref="J9:J58">
      <formula1>"A-615 GR-60,A-615 GR-40,A706 GR-60"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CL413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N31" sqref="N31:N34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531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I413</f>
        <v>58.929106179650041</v>
      </c>
      <c r="AK8" s="51" t="s">
        <v>52</v>
      </c>
    </row>
    <row r="9" spans="2:90" ht="12.75" customHeight="1">
      <c r="B9" s="26">
        <f>IF(B8="SL.NO",1,B8+1)</f>
        <v>1</v>
      </c>
      <c r="C9" s="135" t="s">
        <v>484</v>
      </c>
      <c r="D9" s="136"/>
      <c r="E9" s="136"/>
      <c r="F9" s="137"/>
      <c r="G9" s="122"/>
      <c r="H9" s="138"/>
      <c r="I9" s="55">
        <f t="shared" ref="I9:I102" si="0">IF(D9="",AK9*H9*E9,AK9*H9*E9*D9)</f>
        <v>0</v>
      </c>
      <c r="J9" s="56"/>
      <c r="AK9" s="44">
        <f t="shared" ref="AK9:AK72" si="1">IF(F9="",0,VLOOKUP(F9,$CI$16:$CJ$408,2,FALSE))</f>
        <v>0</v>
      </c>
    </row>
    <row r="10" spans="2:90" ht="12.75" customHeight="1">
      <c r="B10" s="26">
        <f t="shared" ref="B10:B73" si="2">IF(B9="SL.NO",1,B9+1)</f>
        <v>2</v>
      </c>
      <c r="C10" s="162" t="s">
        <v>485</v>
      </c>
      <c r="D10" s="35"/>
      <c r="E10" s="23"/>
      <c r="F10" s="23"/>
      <c r="G10" s="122"/>
      <c r="H10" s="25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98" t="s">
        <v>486</v>
      </c>
      <c r="D11" s="53"/>
      <c r="E11" s="53"/>
      <c r="F11" s="53"/>
      <c r="G11" s="122"/>
      <c r="H11" s="154"/>
      <c r="I11" s="55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86" t="s">
        <v>395</v>
      </c>
      <c r="D12" s="53"/>
      <c r="E12" s="53">
        <f>TRUNC((5-0.083-0.5)/1+1.9)</f>
        <v>6</v>
      </c>
      <c r="F12" s="53">
        <v>8</v>
      </c>
      <c r="G12" s="122" t="s">
        <v>57</v>
      </c>
      <c r="H12" s="154">
        <f>(34-0.083)+1.42</f>
        <v>35.337000000000003</v>
      </c>
      <c r="I12" s="55">
        <f t="shared" si="0"/>
        <v>566.09874000000013</v>
      </c>
      <c r="J12" s="59"/>
      <c r="K12" s="4"/>
      <c r="M12" s="4"/>
      <c r="N12" s="4"/>
      <c r="O12" s="4"/>
      <c r="P12" s="4"/>
      <c r="Q12" s="4"/>
      <c r="AK12" s="44">
        <f t="shared" si="1"/>
        <v>2.67</v>
      </c>
    </row>
    <row r="13" spans="2:90" ht="12.75" customHeight="1">
      <c r="B13" s="26">
        <f t="shared" si="2"/>
        <v>5</v>
      </c>
      <c r="C13" s="86" t="s">
        <v>396</v>
      </c>
      <c r="D13" s="53"/>
      <c r="E13" s="53">
        <f>TRUNC((5-0.083-0.42)/0.83+1.9)</f>
        <v>7</v>
      </c>
      <c r="F13" s="53">
        <v>6</v>
      </c>
      <c r="G13" s="122" t="s">
        <v>57</v>
      </c>
      <c r="H13" s="154">
        <f>28.17+1*2</f>
        <v>30.17</v>
      </c>
      <c r="I13" s="55">
        <f t="shared" si="0"/>
        <v>317.20738</v>
      </c>
      <c r="J13" s="59"/>
      <c r="K13" s="4"/>
      <c r="M13" s="4"/>
      <c r="N13" s="4"/>
      <c r="O13" s="5"/>
      <c r="P13" s="4"/>
      <c r="Q13" s="4"/>
      <c r="AK13" s="44">
        <f t="shared" si="1"/>
        <v>1.502</v>
      </c>
    </row>
    <row r="14" spans="2:90" ht="12.75" customHeight="1" thickBot="1">
      <c r="B14" s="26">
        <f t="shared" si="2"/>
        <v>6</v>
      </c>
      <c r="C14" s="86" t="s">
        <v>396</v>
      </c>
      <c r="D14" s="53"/>
      <c r="E14" s="53">
        <f>TRUNC((5-0.083-0.42)/0.83+1.9)</f>
        <v>7</v>
      </c>
      <c r="F14" s="53">
        <v>6</v>
      </c>
      <c r="G14" s="122" t="s">
        <v>57</v>
      </c>
      <c r="H14" s="154">
        <f>28.17+1*2</f>
        <v>30.17</v>
      </c>
      <c r="I14" s="55">
        <f t="shared" si="0"/>
        <v>317.20738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1.502</v>
      </c>
    </row>
    <row r="15" spans="2:90" ht="12.75" customHeight="1">
      <c r="B15" s="26">
        <f t="shared" si="2"/>
        <v>7</v>
      </c>
      <c r="C15" s="86" t="s">
        <v>395</v>
      </c>
      <c r="D15" s="53"/>
      <c r="E15" s="53">
        <f>TRUNC((5-0.083-0.5)/1+1.9)</f>
        <v>6</v>
      </c>
      <c r="F15" s="53">
        <v>8</v>
      </c>
      <c r="G15" s="122" t="s">
        <v>57</v>
      </c>
      <c r="H15" s="154">
        <f>(29-0.083)+1.42</f>
        <v>30.337000000000003</v>
      </c>
      <c r="I15" s="55">
        <f t="shared" si="0"/>
        <v>485.99874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2.67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86" t="s">
        <v>101</v>
      </c>
      <c r="D16" s="53"/>
      <c r="E16" s="53">
        <f>TRUNC((5-0.083-0.5)/1+1.9)</f>
        <v>6</v>
      </c>
      <c r="F16" s="53">
        <v>5</v>
      </c>
      <c r="G16" s="122" t="s">
        <v>57</v>
      </c>
      <c r="H16" s="154">
        <f>15.083-0.083+0.92</f>
        <v>15.92</v>
      </c>
      <c r="I16" s="55">
        <f t="shared" si="0"/>
        <v>99.627359999999996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1.0429999999999999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98" t="s">
        <v>487</v>
      </c>
      <c r="D17" s="53"/>
      <c r="E17" s="53"/>
      <c r="F17" s="53"/>
      <c r="G17" s="122"/>
      <c r="H17" s="154"/>
      <c r="I17" s="55">
        <f t="shared" si="0"/>
        <v>0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0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86" t="s">
        <v>101</v>
      </c>
      <c r="D18" s="53"/>
      <c r="E18" s="53">
        <f>TRUNC((8.25-1)/1+1.9)</f>
        <v>9</v>
      </c>
      <c r="F18" s="53">
        <v>5</v>
      </c>
      <c r="G18" s="122" t="s">
        <v>57</v>
      </c>
      <c r="H18" s="154">
        <f>5.17+0.5</f>
        <v>5.67</v>
      </c>
      <c r="I18" s="55">
        <f t="shared" si="0"/>
        <v>53.224289999999996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1.0429999999999999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86" t="s">
        <v>396</v>
      </c>
      <c r="D19" s="53"/>
      <c r="E19" s="53">
        <f>TRUNC((8.25-0.83)/0.83+1.9)</f>
        <v>10</v>
      </c>
      <c r="F19" s="53">
        <v>6</v>
      </c>
      <c r="G19" s="122" t="s">
        <v>57</v>
      </c>
      <c r="H19" s="154">
        <f>28.67+0.5+0.5</f>
        <v>29.67</v>
      </c>
      <c r="I19" s="55">
        <f t="shared" si="0"/>
        <v>445.64340000000004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1.502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86" t="s">
        <v>410</v>
      </c>
      <c r="D20" s="53"/>
      <c r="E20" s="53">
        <f>TRUNC((8.25-0.83)/0.83+1.9)</f>
        <v>10</v>
      </c>
      <c r="F20" s="53">
        <v>5</v>
      </c>
      <c r="G20" s="122" t="s">
        <v>57</v>
      </c>
      <c r="H20" s="154">
        <f>28.17+0.5+0.5</f>
        <v>29.17</v>
      </c>
      <c r="I20" s="55">
        <f t="shared" si="0"/>
        <v>304.24309999999997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1.0429999999999999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86" t="s">
        <v>410</v>
      </c>
      <c r="D21" s="53"/>
      <c r="E21" s="53">
        <f>TRUNC((8.25-0.83)/0.83+1.9)</f>
        <v>10</v>
      </c>
      <c r="F21" s="53">
        <v>5</v>
      </c>
      <c r="G21" s="122" t="s">
        <v>57</v>
      </c>
      <c r="H21" s="154">
        <f>28.17+0.5+0.5</f>
        <v>29.17</v>
      </c>
      <c r="I21" s="55">
        <f t="shared" si="0"/>
        <v>304.24309999999997</v>
      </c>
      <c r="J21" s="59"/>
      <c r="K21" s="4"/>
      <c r="L21" s="4"/>
      <c r="N21" s="4"/>
      <c r="O21" s="62"/>
      <c r="P21" s="4"/>
      <c r="Q21" s="4"/>
      <c r="AK21" s="44">
        <f t="shared" si="1"/>
        <v>1.0429999999999999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86" t="s">
        <v>397</v>
      </c>
      <c r="D22" s="53"/>
      <c r="E22" s="53">
        <f>TRUNC((8.25-1)/1+1.9)</f>
        <v>9</v>
      </c>
      <c r="F22" s="53">
        <v>7</v>
      </c>
      <c r="G22" s="122" t="s">
        <v>57</v>
      </c>
      <c r="H22" s="154">
        <f>29+0.5</f>
        <v>29.5</v>
      </c>
      <c r="I22" s="55">
        <f t="shared" si="0"/>
        <v>542.68200000000002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2.044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86" t="s">
        <v>101</v>
      </c>
      <c r="D23" s="53"/>
      <c r="E23" s="53">
        <f>TRUNC((5-0.083-0.5)/1+1.9)</f>
        <v>6</v>
      </c>
      <c r="F23" s="53">
        <v>5</v>
      </c>
      <c r="G23" s="122" t="s">
        <v>57</v>
      </c>
      <c r="H23" s="154">
        <f>15.083-0.083+0.5</f>
        <v>15.5</v>
      </c>
      <c r="I23" s="55">
        <f t="shared" si="0"/>
        <v>96.998999999999995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1.0429999999999999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98" t="s">
        <v>488</v>
      </c>
      <c r="D24" s="53"/>
      <c r="E24" s="53"/>
      <c r="F24" s="53"/>
      <c r="G24" s="122"/>
      <c r="H24" s="154"/>
      <c r="I24" s="55">
        <f t="shared" si="0"/>
        <v>0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0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86" t="s">
        <v>395</v>
      </c>
      <c r="D25" s="53"/>
      <c r="E25" s="53">
        <f>TRUNC((12.67-1)/1+1.9)</f>
        <v>13</v>
      </c>
      <c r="F25" s="53">
        <v>8</v>
      </c>
      <c r="G25" s="122" t="s">
        <v>57</v>
      </c>
      <c r="H25" s="154">
        <f>(21-0.083)+1.42</f>
        <v>22.337000000000003</v>
      </c>
      <c r="I25" s="55">
        <f t="shared" si="0"/>
        <v>775.31727000000001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2.67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86" t="s">
        <v>399</v>
      </c>
      <c r="D26" s="53"/>
      <c r="E26" s="53">
        <f>TRUNC((12.67-1)/1+1.9)</f>
        <v>13</v>
      </c>
      <c r="F26" s="53">
        <v>6</v>
      </c>
      <c r="G26" s="122" t="s">
        <v>57</v>
      </c>
      <c r="H26" s="154">
        <f>28.67+1*2</f>
        <v>30.67</v>
      </c>
      <c r="I26" s="55">
        <f t="shared" si="0"/>
        <v>598.86242000000004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1.502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86" t="s">
        <v>396</v>
      </c>
      <c r="D27" s="53"/>
      <c r="E27" s="53">
        <f>TRUNC((12.67-0.83)/0.83+1.9)</f>
        <v>16</v>
      </c>
      <c r="F27" s="53">
        <v>6</v>
      </c>
      <c r="G27" s="122" t="s">
        <v>57</v>
      </c>
      <c r="H27" s="154">
        <f>28.17+1*2</f>
        <v>30.17</v>
      </c>
      <c r="I27" s="55">
        <f t="shared" si="0"/>
        <v>725.04543999999999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1.502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86" t="s">
        <v>396</v>
      </c>
      <c r="D28" s="53"/>
      <c r="E28" s="53">
        <f>TRUNC((12.67-0.83)/0.83+1.9)</f>
        <v>16</v>
      </c>
      <c r="F28" s="53">
        <v>6</v>
      </c>
      <c r="G28" s="122" t="s">
        <v>57</v>
      </c>
      <c r="H28" s="154">
        <f>28.17+1*2</f>
        <v>30.17</v>
      </c>
      <c r="I28" s="55">
        <f t="shared" si="0"/>
        <v>725.04543999999999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1.502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86" t="s">
        <v>395</v>
      </c>
      <c r="D29" s="53"/>
      <c r="E29" s="53">
        <f>TRUNC((12.67-1)/1+1.9)</f>
        <v>13</v>
      </c>
      <c r="F29" s="53">
        <v>8</v>
      </c>
      <c r="G29" s="122" t="s">
        <v>57</v>
      </c>
      <c r="H29" s="154">
        <f>(29-0.083)+1.42</f>
        <v>30.337000000000003</v>
      </c>
      <c r="I29" s="55">
        <f t="shared" si="0"/>
        <v>1052.9972700000001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2.67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86" t="s">
        <v>101</v>
      </c>
      <c r="D30" s="53"/>
      <c r="E30" s="53">
        <f>TRUNC((3.25-1)/1+1.9)</f>
        <v>4</v>
      </c>
      <c r="F30" s="53">
        <v>5</v>
      </c>
      <c r="G30" s="122" t="s">
        <v>57</v>
      </c>
      <c r="H30" s="154">
        <f>(9.5-0.083)+1.42</f>
        <v>10.837</v>
      </c>
      <c r="I30" s="55">
        <f t="shared" si="0"/>
        <v>45.211963999999995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1.0429999999999999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86" t="s">
        <v>489</v>
      </c>
      <c r="D31" s="53"/>
      <c r="E31" s="53">
        <v>3</v>
      </c>
      <c r="F31" s="53">
        <v>7</v>
      </c>
      <c r="G31" s="122" t="s">
        <v>57</v>
      </c>
      <c r="H31" s="154">
        <v>11</v>
      </c>
      <c r="I31" s="55">
        <f t="shared" si="0"/>
        <v>67.451999999999998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2.044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98" t="s">
        <v>487</v>
      </c>
      <c r="D32" s="53"/>
      <c r="E32" s="53"/>
      <c r="F32" s="53"/>
      <c r="G32" s="122"/>
      <c r="H32" s="154"/>
      <c r="I32" s="55">
        <f t="shared" si="0"/>
        <v>0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0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86" t="s">
        <v>101</v>
      </c>
      <c r="D33" s="53"/>
      <c r="E33" s="53">
        <f>TRUNC((14.67-1)/1+1.9)</f>
        <v>15</v>
      </c>
      <c r="F33" s="53">
        <v>5</v>
      </c>
      <c r="G33" s="122" t="s">
        <v>57</v>
      </c>
      <c r="H33" s="154">
        <f>20.083-0.083+0.5</f>
        <v>20.5</v>
      </c>
      <c r="I33" s="55">
        <f t="shared" si="0"/>
        <v>320.72249999999997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1.0429999999999999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86" t="s">
        <v>410</v>
      </c>
      <c r="D34" s="53"/>
      <c r="E34" s="53">
        <f>TRUNC((14.67-0.83)/0.83+1.9)</f>
        <v>18</v>
      </c>
      <c r="F34" s="53">
        <v>5</v>
      </c>
      <c r="G34" s="122" t="s">
        <v>57</v>
      </c>
      <c r="H34" s="154">
        <f>29+0.5+0.5</f>
        <v>30</v>
      </c>
      <c r="I34" s="55">
        <f t="shared" si="0"/>
        <v>563.22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1.0429999999999999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86" t="s">
        <v>410</v>
      </c>
      <c r="D35" s="53"/>
      <c r="E35" s="53">
        <f>TRUNC((14.67-0.83)/0.83+1.9)</f>
        <v>18</v>
      </c>
      <c r="F35" s="53">
        <v>5</v>
      </c>
      <c r="G35" s="122" t="s">
        <v>57</v>
      </c>
      <c r="H35" s="154">
        <f>28.33+0.5+0.5</f>
        <v>29.33</v>
      </c>
      <c r="I35" s="55">
        <f t="shared" si="0"/>
        <v>550.64141999999993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1.0429999999999999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86" t="s">
        <v>101</v>
      </c>
      <c r="D36" s="53"/>
      <c r="E36" s="53">
        <f>TRUNC((14.67-1)/1+1.9)</f>
        <v>15</v>
      </c>
      <c r="F36" s="53">
        <v>5</v>
      </c>
      <c r="G36" s="122" t="s">
        <v>57</v>
      </c>
      <c r="H36" s="154">
        <f>25.25+0.5+0.5</f>
        <v>26.25</v>
      </c>
      <c r="I36" s="55">
        <f t="shared" si="0"/>
        <v>410.68124999999998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1.0429999999999999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86" t="s">
        <v>397</v>
      </c>
      <c r="D37" s="53"/>
      <c r="E37" s="53">
        <f>TRUNC((13.58-1)/1+1.9)</f>
        <v>14</v>
      </c>
      <c r="F37" s="53">
        <v>7</v>
      </c>
      <c r="G37" s="122" t="s">
        <v>57</v>
      </c>
      <c r="H37" s="154">
        <f>31.5-0.083+0.5</f>
        <v>31.917000000000002</v>
      </c>
      <c r="I37" s="55">
        <f t="shared" si="0"/>
        <v>913.33687200000008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2.044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98" t="s">
        <v>280</v>
      </c>
      <c r="D38" s="53"/>
      <c r="E38" s="53"/>
      <c r="F38" s="53"/>
      <c r="G38" s="122"/>
      <c r="H38" s="154"/>
      <c r="I38" s="55">
        <f t="shared" si="0"/>
        <v>0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86" t="s">
        <v>399</v>
      </c>
      <c r="D39" s="53"/>
      <c r="E39" s="53">
        <f>TRUNC((11.25-1)/1+1.9)</f>
        <v>12</v>
      </c>
      <c r="F39" s="53">
        <v>6</v>
      </c>
      <c r="G39" s="122" t="s">
        <v>57</v>
      </c>
      <c r="H39" s="154">
        <f>(20.33-0.083)+1</f>
        <v>21.247</v>
      </c>
      <c r="I39" s="55">
        <f t="shared" si="0"/>
        <v>382.95592800000003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1.502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86" t="s">
        <v>399</v>
      </c>
      <c r="D40" s="53"/>
      <c r="E40" s="53">
        <f>TRUNC((11.25-1)/1+1.9)</f>
        <v>12</v>
      </c>
      <c r="F40" s="53">
        <v>6</v>
      </c>
      <c r="G40" s="122" t="s">
        <v>57</v>
      </c>
      <c r="H40" s="154">
        <f>29.75+1*2</f>
        <v>31.75</v>
      </c>
      <c r="I40" s="55">
        <f t="shared" si="0"/>
        <v>572.26199999999994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1.502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86" t="s">
        <v>399</v>
      </c>
      <c r="D41" s="53"/>
      <c r="E41" s="53">
        <f>TRUNC((11.25-1)/1+1.9)</f>
        <v>12</v>
      </c>
      <c r="F41" s="53">
        <v>6</v>
      </c>
      <c r="G41" s="122" t="s">
        <v>57</v>
      </c>
      <c r="H41" s="154">
        <f>28.67+1*2</f>
        <v>30.67</v>
      </c>
      <c r="I41" s="55">
        <f t="shared" si="0"/>
        <v>552.79608000000007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1.502</v>
      </c>
    </row>
    <row r="42" spans="2:88" ht="12.75" customHeight="1">
      <c r="B42" s="26">
        <f t="shared" si="2"/>
        <v>34</v>
      </c>
      <c r="C42" s="86" t="s">
        <v>101</v>
      </c>
      <c r="D42" s="53"/>
      <c r="E42" s="53">
        <f>TRUNC((11.25-1)/1+1.9)</f>
        <v>12</v>
      </c>
      <c r="F42" s="53">
        <v>5</v>
      </c>
      <c r="G42" s="122" t="s">
        <v>57</v>
      </c>
      <c r="H42" s="154">
        <f>19.67+0.92*2</f>
        <v>21.51</v>
      </c>
      <c r="I42" s="55">
        <f t="shared" si="0"/>
        <v>269.21915999999999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1.0429999999999999</v>
      </c>
    </row>
    <row r="43" spans="2:88" ht="12.75" customHeight="1">
      <c r="B43" s="26">
        <f t="shared" si="2"/>
        <v>35</v>
      </c>
      <c r="C43" s="86" t="s">
        <v>402</v>
      </c>
      <c r="D43" s="53"/>
      <c r="E43" s="53">
        <f>TRUNC((11.25-0.83)/0.83+1.9)</f>
        <v>14</v>
      </c>
      <c r="F43" s="53">
        <v>8</v>
      </c>
      <c r="G43" s="122" t="s">
        <v>57</v>
      </c>
      <c r="H43" s="154">
        <f>(34.83-0.083)+1.42</f>
        <v>36.167000000000002</v>
      </c>
      <c r="I43" s="55">
        <f t="shared" si="0"/>
        <v>1351.92246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2.67</v>
      </c>
    </row>
    <row r="44" spans="2:88" ht="12.75" customHeight="1">
      <c r="B44" s="26">
        <f t="shared" si="2"/>
        <v>36</v>
      </c>
      <c r="C44" s="86" t="s">
        <v>101</v>
      </c>
      <c r="D44" s="53"/>
      <c r="E44" s="53">
        <f>TRUNC((1-1)/1+1.9)</f>
        <v>1</v>
      </c>
      <c r="F44" s="53">
        <v>5</v>
      </c>
      <c r="G44" s="122" t="s">
        <v>57</v>
      </c>
      <c r="H44" s="154">
        <f>7.5-0.083+0.92</f>
        <v>8.3369999999999997</v>
      </c>
      <c r="I44" s="55">
        <f t="shared" si="0"/>
        <v>8.6954909999999987</v>
      </c>
      <c r="J44" s="59"/>
      <c r="K44" s="4"/>
      <c r="L44" s="3"/>
      <c r="M44" s="34"/>
      <c r="N44" s="34"/>
      <c r="O44" s="4"/>
      <c r="P44" s="4"/>
      <c r="Q44" s="4"/>
      <c r="AK44" s="44">
        <f t="shared" si="1"/>
        <v>1.0429999999999999</v>
      </c>
    </row>
    <row r="45" spans="2:88" ht="12.75" customHeight="1">
      <c r="B45" s="26">
        <f t="shared" si="2"/>
        <v>37</v>
      </c>
      <c r="C45" s="86" t="s">
        <v>101</v>
      </c>
      <c r="D45" s="53"/>
      <c r="E45" s="53">
        <f>TRUNC((4-0.083-0.5)/1+1.9)</f>
        <v>5</v>
      </c>
      <c r="F45" s="53">
        <v>5</v>
      </c>
      <c r="G45" s="122" t="s">
        <v>57</v>
      </c>
      <c r="H45" s="154">
        <f>5-0.083+0.92</f>
        <v>5.8369999999999997</v>
      </c>
      <c r="I45" s="55">
        <f t="shared" si="0"/>
        <v>30.439954999999998</v>
      </c>
      <c r="J45" s="59"/>
      <c r="K45" s="4"/>
      <c r="L45" s="3"/>
      <c r="M45" s="34"/>
      <c r="N45" s="3"/>
      <c r="O45" s="4"/>
      <c r="P45" s="4"/>
      <c r="Q45" s="4"/>
      <c r="AK45" s="44">
        <f t="shared" si="1"/>
        <v>1.0429999999999999</v>
      </c>
    </row>
    <row r="46" spans="2:88" ht="12.75" customHeight="1">
      <c r="B46" s="26">
        <f t="shared" si="2"/>
        <v>38</v>
      </c>
      <c r="C46" s="86" t="s">
        <v>401</v>
      </c>
      <c r="D46" s="53"/>
      <c r="E46" s="53">
        <f>TRUNC((4-0.083-0.42)/0.83+1.9)</f>
        <v>6</v>
      </c>
      <c r="F46" s="53">
        <v>9</v>
      </c>
      <c r="G46" s="122" t="s">
        <v>57</v>
      </c>
      <c r="H46" s="154">
        <f>26.17-0.083*2</f>
        <v>26.004000000000001</v>
      </c>
      <c r="I46" s="55">
        <f t="shared" si="0"/>
        <v>530.48160000000007</v>
      </c>
      <c r="J46" s="59"/>
      <c r="K46" s="4"/>
      <c r="L46" s="3"/>
      <c r="M46" s="34"/>
      <c r="N46" s="34"/>
      <c r="O46" s="4"/>
      <c r="P46" s="4"/>
      <c r="Q46" s="4"/>
      <c r="AK46" s="44">
        <f t="shared" si="1"/>
        <v>3.4</v>
      </c>
    </row>
    <row r="47" spans="2:88" ht="12.75" customHeight="1">
      <c r="B47" s="26">
        <f t="shared" si="2"/>
        <v>39</v>
      </c>
      <c r="C47" s="98" t="s">
        <v>487</v>
      </c>
      <c r="D47" s="53"/>
      <c r="E47" s="53"/>
      <c r="F47" s="53"/>
      <c r="G47" s="122"/>
      <c r="H47" s="154"/>
      <c r="I47" s="55">
        <f t="shared" si="0"/>
        <v>0</v>
      </c>
      <c r="J47" s="59"/>
      <c r="K47" s="4"/>
      <c r="L47" s="3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86" t="s">
        <v>399</v>
      </c>
      <c r="D48" s="53"/>
      <c r="E48" s="53">
        <f>TRUNC((4.5-1)/1+1.9)</f>
        <v>5</v>
      </c>
      <c r="F48" s="53">
        <v>6</v>
      </c>
      <c r="G48" s="122" t="s">
        <v>57</v>
      </c>
      <c r="H48" s="154">
        <f>20.33-0.083+0.5</f>
        <v>20.747</v>
      </c>
      <c r="I48" s="55">
        <f t="shared" si="0"/>
        <v>155.80996999999999</v>
      </c>
      <c r="J48" s="59"/>
      <c r="K48" s="4"/>
      <c r="M48" s="4"/>
      <c r="N48" s="4"/>
      <c r="O48" s="4"/>
      <c r="P48" s="4"/>
      <c r="Q48" s="4"/>
      <c r="AK48" s="44">
        <f t="shared" si="1"/>
        <v>1.502</v>
      </c>
    </row>
    <row r="49" spans="2:37" ht="12.75" customHeight="1">
      <c r="B49" s="26">
        <f t="shared" si="2"/>
        <v>41</v>
      </c>
      <c r="C49" s="86" t="s">
        <v>399</v>
      </c>
      <c r="D49" s="53"/>
      <c r="E49" s="53">
        <f>TRUNC((4.5-1)/1+1.9)</f>
        <v>5</v>
      </c>
      <c r="F49" s="53">
        <v>6</v>
      </c>
      <c r="G49" s="122" t="s">
        <v>57</v>
      </c>
      <c r="H49" s="154">
        <f>6.5-0.083+0.5</f>
        <v>6.9169999999999998</v>
      </c>
      <c r="I49" s="55">
        <f t="shared" si="0"/>
        <v>51.946669999999997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1.502</v>
      </c>
    </row>
    <row r="50" spans="2:37" ht="12.75" customHeight="1">
      <c r="B50" s="26">
        <f t="shared" si="2"/>
        <v>42</v>
      </c>
      <c r="C50" s="86" t="s">
        <v>399</v>
      </c>
      <c r="D50" s="53"/>
      <c r="E50" s="53">
        <f>TRUNC((3-1)/1+1.9)</f>
        <v>3</v>
      </c>
      <c r="F50" s="53">
        <v>6</v>
      </c>
      <c r="G50" s="122" t="s">
        <v>57</v>
      </c>
      <c r="H50" s="154">
        <f>10.67</f>
        <v>10.67</v>
      </c>
      <c r="I50" s="55">
        <f t="shared" si="0"/>
        <v>48.07902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1.502</v>
      </c>
    </row>
    <row r="51" spans="2:37" ht="12.75" customHeight="1">
      <c r="B51" s="26">
        <f t="shared" si="2"/>
        <v>43</v>
      </c>
      <c r="C51" s="86" t="s">
        <v>397</v>
      </c>
      <c r="D51" s="53"/>
      <c r="E51" s="53">
        <f>TRUNC((3.5-1)/1+1.9)</f>
        <v>4</v>
      </c>
      <c r="F51" s="53">
        <v>7</v>
      </c>
      <c r="G51" s="122" t="s">
        <v>57</v>
      </c>
      <c r="H51" s="154">
        <f>26.25-0.083+0.5</f>
        <v>26.667000000000002</v>
      </c>
      <c r="I51" s="55">
        <f t="shared" si="0"/>
        <v>218.02939200000003</v>
      </c>
      <c r="J51" s="59"/>
      <c r="L51" s="4"/>
      <c r="M51" s="4"/>
      <c r="N51" s="4"/>
      <c r="O51" s="4"/>
      <c r="P51" s="4"/>
      <c r="Q51" s="4"/>
      <c r="AK51" s="44">
        <f t="shared" si="1"/>
        <v>2.044</v>
      </c>
    </row>
    <row r="52" spans="2:37" ht="12.75" customHeight="1">
      <c r="B52" s="26">
        <f t="shared" si="2"/>
        <v>44</v>
      </c>
      <c r="C52" s="86" t="s">
        <v>397</v>
      </c>
      <c r="D52" s="53"/>
      <c r="E52" s="53">
        <f>TRUNC((4.5-1)/1+1.9)</f>
        <v>5</v>
      </c>
      <c r="F52" s="53">
        <v>7</v>
      </c>
      <c r="G52" s="122" t="s">
        <v>57</v>
      </c>
      <c r="H52" s="154">
        <f>19.5-0.083+0.5</f>
        <v>19.917000000000002</v>
      </c>
      <c r="I52" s="55">
        <f t="shared" si="0"/>
        <v>203.55174000000002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2.044</v>
      </c>
    </row>
    <row r="53" spans="2:37" ht="12.75" customHeight="1">
      <c r="B53" s="26">
        <f t="shared" si="2"/>
        <v>45</v>
      </c>
      <c r="C53" s="86" t="s">
        <v>410</v>
      </c>
      <c r="D53" s="53"/>
      <c r="E53" s="53">
        <f>TRUNC((8.83-0.83)/0.83+1.9)</f>
        <v>11</v>
      </c>
      <c r="F53" s="53">
        <v>5</v>
      </c>
      <c r="G53" s="122" t="s">
        <v>57</v>
      </c>
      <c r="H53" s="154">
        <f>28.25+0.5+0.5</f>
        <v>29.25</v>
      </c>
      <c r="I53" s="55">
        <f t="shared" si="0"/>
        <v>335.58524999999997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1.0429999999999999</v>
      </c>
    </row>
    <row r="54" spans="2:37" ht="12.75" customHeight="1">
      <c r="B54" s="26">
        <f t="shared" si="2"/>
        <v>46</v>
      </c>
      <c r="C54" s="86" t="s">
        <v>101</v>
      </c>
      <c r="D54" s="53"/>
      <c r="E54" s="53">
        <f>TRUNC((8.83-1)/1+1.9)</f>
        <v>9</v>
      </c>
      <c r="F54" s="53">
        <v>5</v>
      </c>
      <c r="G54" s="122" t="s">
        <v>57</v>
      </c>
      <c r="H54" s="154">
        <f>19.67+0.5+0.5</f>
        <v>20.67</v>
      </c>
      <c r="I54" s="55">
        <f t="shared" si="0"/>
        <v>194.02929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1.0429999999999999</v>
      </c>
    </row>
    <row r="55" spans="2:37" ht="12.75" customHeight="1">
      <c r="B55" s="26">
        <f t="shared" si="2"/>
        <v>47</v>
      </c>
      <c r="C55" s="86" t="s">
        <v>407</v>
      </c>
      <c r="D55" s="53"/>
      <c r="E55" s="53">
        <f>TRUNC((6.5-0.83)/0.83+1.9)</f>
        <v>8</v>
      </c>
      <c r="F55" s="53">
        <v>7</v>
      </c>
      <c r="G55" s="122" t="s">
        <v>57</v>
      </c>
      <c r="H55" s="154">
        <f>32.5-0.083+0.5</f>
        <v>32.917000000000002</v>
      </c>
      <c r="I55" s="55">
        <f t="shared" si="0"/>
        <v>538.25878399999999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2.044</v>
      </c>
    </row>
    <row r="56" spans="2:37" ht="12.75" customHeight="1">
      <c r="B56" s="26">
        <f t="shared" si="2"/>
        <v>48</v>
      </c>
      <c r="C56" s="86" t="s">
        <v>402</v>
      </c>
      <c r="D56" s="53"/>
      <c r="E56" s="53">
        <f>TRUNC((4-0.83)/0.83+1.9)</f>
        <v>5</v>
      </c>
      <c r="F56" s="53">
        <v>8</v>
      </c>
      <c r="G56" s="122" t="s">
        <v>57</v>
      </c>
      <c r="H56" s="154">
        <f>32.5+0.5+0.5</f>
        <v>33.5</v>
      </c>
      <c r="I56" s="55">
        <f t="shared" si="0"/>
        <v>447.22499999999997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2.67</v>
      </c>
    </row>
    <row r="57" spans="2:37" ht="12.75" customHeight="1">
      <c r="B57" s="26">
        <f t="shared" si="2"/>
        <v>49</v>
      </c>
      <c r="C57" s="86" t="s">
        <v>101</v>
      </c>
      <c r="D57" s="39"/>
      <c r="E57" s="53">
        <f>TRUNC((4.58-0.083-0.5)/1+1.9)</f>
        <v>5</v>
      </c>
      <c r="F57" s="139">
        <v>5</v>
      </c>
      <c r="G57" s="122" t="s">
        <v>57</v>
      </c>
      <c r="H57" s="27">
        <f>7.5-0.083+0.5</f>
        <v>7.9169999999999998</v>
      </c>
      <c r="I57" s="55">
        <f t="shared" si="0"/>
        <v>41.287154999999991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1.0429999999999999</v>
      </c>
    </row>
    <row r="58" spans="2:37" ht="12.75" customHeight="1">
      <c r="B58" s="26">
        <f t="shared" si="2"/>
        <v>50</v>
      </c>
      <c r="C58" s="86" t="s">
        <v>101</v>
      </c>
      <c r="D58" s="53"/>
      <c r="E58" s="53">
        <f>TRUNC((5.75-1)/1+1.9)</f>
        <v>6</v>
      </c>
      <c r="F58" s="53">
        <v>5</v>
      </c>
      <c r="G58" s="122" t="s">
        <v>57</v>
      </c>
      <c r="H58" s="154">
        <f>7.58-0.083+0.5</f>
        <v>7.9969999999999999</v>
      </c>
      <c r="I58" s="55">
        <f t="shared" si="0"/>
        <v>50.045226</v>
      </c>
      <c r="J58" s="59"/>
      <c r="K58" s="4"/>
      <c r="L58" s="4"/>
      <c r="M58" s="4"/>
      <c r="N58" s="4"/>
      <c r="O58" s="4"/>
      <c r="P58" s="4"/>
      <c r="Q58" s="4"/>
      <c r="AK58" s="44">
        <f t="shared" si="1"/>
        <v>1.0429999999999999</v>
      </c>
    </row>
    <row r="59" spans="2:37" ht="12.75" customHeight="1">
      <c r="B59" s="26">
        <f t="shared" si="2"/>
        <v>51</v>
      </c>
      <c r="C59" s="86" t="s">
        <v>101</v>
      </c>
      <c r="D59" s="53"/>
      <c r="E59" s="53">
        <f>TRUNC((5.5-1)/1+1.9)</f>
        <v>6</v>
      </c>
      <c r="F59" s="53">
        <v>5</v>
      </c>
      <c r="G59" s="122" t="s">
        <v>57</v>
      </c>
      <c r="H59" s="154">
        <f>5-0.083+0.5</f>
        <v>5.4169999999999998</v>
      </c>
      <c r="I59" s="55">
        <f t="shared" si="0"/>
        <v>33.899585999999999</v>
      </c>
      <c r="J59" s="59"/>
      <c r="K59" s="4"/>
      <c r="M59" s="4"/>
      <c r="N59" s="4"/>
      <c r="O59" s="4"/>
      <c r="P59" s="4"/>
      <c r="Q59" s="4"/>
      <c r="AK59" s="44">
        <f t="shared" si="1"/>
        <v>1.0429999999999999</v>
      </c>
    </row>
    <row r="60" spans="2:37" ht="12.75" customHeight="1">
      <c r="B60" s="26">
        <f t="shared" si="2"/>
        <v>52</v>
      </c>
      <c r="C60" s="86" t="s">
        <v>401</v>
      </c>
      <c r="D60" s="53"/>
      <c r="E60" s="53">
        <f>TRUNC((11.25-0.83)/0.83+1.9)</f>
        <v>14</v>
      </c>
      <c r="F60" s="53">
        <v>9</v>
      </c>
      <c r="G60" s="122" t="s">
        <v>57</v>
      </c>
      <c r="H60" s="154">
        <f>26-0.083+0.5</f>
        <v>26.417000000000002</v>
      </c>
      <c r="I60" s="55">
        <f t="shared" si="0"/>
        <v>1257.4492</v>
      </c>
      <c r="J60" s="59"/>
      <c r="K60" s="4"/>
      <c r="L60" s="4"/>
      <c r="M60" s="34"/>
      <c r="N60" s="34"/>
      <c r="O60" s="4"/>
      <c r="P60" s="4"/>
      <c r="Q60" s="4"/>
      <c r="AK60" s="44">
        <f t="shared" si="1"/>
        <v>3.4</v>
      </c>
    </row>
    <row r="61" spans="2:37" ht="12.75" customHeight="1">
      <c r="B61" s="26">
        <f t="shared" si="2"/>
        <v>53</v>
      </c>
      <c r="C61" s="98" t="s">
        <v>280</v>
      </c>
      <c r="D61" s="53"/>
      <c r="E61" s="53"/>
      <c r="F61" s="53"/>
      <c r="G61" s="122"/>
      <c r="H61" s="154"/>
      <c r="I61" s="55">
        <f t="shared" si="0"/>
        <v>0</v>
      </c>
      <c r="J61" s="59"/>
      <c r="K61" s="4"/>
      <c r="L61" s="3"/>
      <c r="M61" s="34"/>
      <c r="N61" s="34"/>
      <c r="O61" s="4"/>
      <c r="P61" s="4"/>
      <c r="Q61" s="4"/>
      <c r="AK61" s="44">
        <f t="shared" si="1"/>
        <v>0</v>
      </c>
    </row>
    <row r="62" spans="2:37" ht="12.75" customHeight="1">
      <c r="B62" s="26">
        <f t="shared" si="2"/>
        <v>54</v>
      </c>
      <c r="C62" s="86" t="s">
        <v>395</v>
      </c>
      <c r="D62" s="53"/>
      <c r="E62" s="53">
        <f>TRUNC((9.25-1)/1+1.9)</f>
        <v>10</v>
      </c>
      <c r="F62" s="53">
        <v>8</v>
      </c>
      <c r="G62" s="122" t="s">
        <v>57</v>
      </c>
      <c r="H62" s="154">
        <f>19.5-0.083+1.42</f>
        <v>20.837000000000003</v>
      </c>
      <c r="I62" s="55">
        <f t="shared" si="0"/>
        <v>556.3479000000001</v>
      </c>
      <c r="J62" s="59"/>
      <c r="L62" s="3"/>
      <c r="M62" s="34"/>
      <c r="N62" s="3"/>
      <c r="O62" s="4"/>
      <c r="P62" s="4"/>
      <c r="Q62" s="4"/>
      <c r="AK62" s="44">
        <f t="shared" si="1"/>
        <v>2.67</v>
      </c>
    </row>
    <row r="63" spans="2:37" ht="12.75" customHeight="1">
      <c r="B63" s="26">
        <f t="shared" si="2"/>
        <v>55</v>
      </c>
      <c r="C63" s="86" t="s">
        <v>407</v>
      </c>
      <c r="D63" s="53"/>
      <c r="E63" s="53">
        <f>TRUNC((9.25-0.83)/0.83+1.9)</f>
        <v>12</v>
      </c>
      <c r="F63" s="53">
        <v>7</v>
      </c>
      <c r="G63" s="122" t="s">
        <v>57</v>
      </c>
      <c r="H63" s="154">
        <f>29.75+1.17*2</f>
        <v>32.090000000000003</v>
      </c>
      <c r="I63" s="55">
        <f t="shared" si="0"/>
        <v>787.10352000000012</v>
      </c>
      <c r="J63" s="59"/>
      <c r="K63" s="4"/>
      <c r="L63" s="3"/>
      <c r="M63" s="34"/>
      <c r="N63" s="34"/>
      <c r="O63" s="4"/>
      <c r="P63" s="4"/>
      <c r="Q63" s="4"/>
      <c r="AK63" s="44">
        <f t="shared" si="1"/>
        <v>2.044</v>
      </c>
    </row>
    <row r="64" spans="2:37" ht="12.75" customHeight="1">
      <c r="B64" s="26">
        <f t="shared" si="2"/>
        <v>56</v>
      </c>
      <c r="C64" s="86" t="s">
        <v>410</v>
      </c>
      <c r="D64" s="53"/>
      <c r="E64" s="53">
        <f>TRUNC((9.25-0.83)/0.83+1.9)</f>
        <v>12</v>
      </c>
      <c r="F64" s="53">
        <v>5</v>
      </c>
      <c r="G64" s="122" t="s">
        <v>57</v>
      </c>
      <c r="H64" s="154">
        <f>28+1*2</f>
        <v>30</v>
      </c>
      <c r="I64" s="55">
        <f t="shared" si="0"/>
        <v>375.48</v>
      </c>
      <c r="J64" s="59"/>
      <c r="K64" s="4"/>
      <c r="L64" s="3"/>
      <c r="M64" s="34"/>
      <c r="N64" s="34"/>
      <c r="O64" s="4"/>
      <c r="P64" s="4"/>
      <c r="Q64" s="4"/>
      <c r="AK64" s="44">
        <f t="shared" si="1"/>
        <v>1.0429999999999999</v>
      </c>
    </row>
    <row r="65" spans="2:37" ht="12.75" customHeight="1">
      <c r="B65" s="26">
        <f t="shared" si="2"/>
        <v>57</v>
      </c>
      <c r="C65" s="86" t="s">
        <v>410</v>
      </c>
      <c r="D65" s="53"/>
      <c r="E65" s="53">
        <f>TRUNC((9.25-0.83)/0.83+1.9)</f>
        <v>12</v>
      </c>
      <c r="F65" s="53">
        <v>5</v>
      </c>
      <c r="G65" s="122" t="s">
        <v>57</v>
      </c>
      <c r="H65" s="154">
        <f>19.67+1*2</f>
        <v>21.67</v>
      </c>
      <c r="I65" s="55">
        <f t="shared" si="0"/>
        <v>271.22172</v>
      </c>
      <c r="J65" s="59"/>
      <c r="K65" s="4"/>
      <c r="L65" s="4"/>
      <c r="M65" s="4"/>
      <c r="N65" s="4"/>
      <c r="O65" s="4"/>
      <c r="P65" s="4"/>
      <c r="Q65" s="4"/>
      <c r="AK65" s="44">
        <f t="shared" si="1"/>
        <v>1.0429999999999999</v>
      </c>
    </row>
    <row r="66" spans="2:37" ht="12.75" customHeight="1">
      <c r="B66" s="26">
        <f t="shared" si="2"/>
        <v>58</v>
      </c>
      <c r="C66" s="86" t="s">
        <v>402</v>
      </c>
      <c r="D66" s="53"/>
      <c r="E66" s="53">
        <f>TRUNC((9.25-0.83)/0.83+1.9)</f>
        <v>12</v>
      </c>
      <c r="F66" s="53">
        <v>8</v>
      </c>
      <c r="G66" s="122" t="s">
        <v>57</v>
      </c>
      <c r="H66" s="154">
        <f>32.33-0.083+1.42</f>
        <v>33.667000000000002</v>
      </c>
      <c r="I66" s="55">
        <f t="shared" si="0"/>
        <v>1078.6906799999999</v>
      </c>
      <c r="J66" s="59"/>
      <c r="K66" s="4"/>
      <c r="L66" s="4"/>
      <c r="M66" s="4"/>
      <c r="N66" s="4"/>
      <c r="O66" s="4"/>
      <c r="P66" s="4"/>
      <c r="Q66" s="4"/>
      <c r="AK66" s="44">
        <f t="shared" si="1"/>
        <v>2.67</v>
      </c>
    </row>
    <row r="67" spans="2:37" ht="12.75" customHeight="1">
      <c r="B67" s="26">
        <f t="shared" si="2"/>
        <v>59</v>
      </c>
      <c r="C67" s="86" t="s">
        <v>101</v>
      </c>
      <c r="D67" s="39"/>
      <c r="E67" s="53">
        <f>TRUNC((9.25-1)/1+1.9)</f>
        <v>10</v>
      </c>
      <c r="F67" s="139">
        <v>5</v>
      </c>
      <c r="G67" s="122" t="s">
        <v>57</v>
      </c>
      <c r="H67" s="27">
        <f>7.5-0.083+0.92</f>
        <v>8.3369999999999997</v>
      </c>
      <c r="I67" s="55">
        <f t="shared" si="0"/>
        <v>86.954909999999984</v>
      </c>
      <c r="J67" s="59"/>
      <c r="K67" s="4"/>
      <c r="L67" s="4"/>
      <c r="M67" s="4"/>
      <c r="N67" s="4"/>
      <c r="O67" s="4"/>
      <c r="P67" s="4"/>
      <c r="Q67" s="4"/>
      <c r="AK67" s="44">
        <f t="shared" si="1"/>
        <v>1.0429999999999999</v>
      </c>
    </row>
    <row r="68" spans="2:37" ht="12.75" customHeight="1">
      <c r="B68" s="26">
        <f t="shared" si="2"/>
        <v>60</v>
      </c>
      <c r="C68" s="86" t="s">
        <v>401</v>
      </c>
      <c r="D68" s="53"/>
      <c r="E68" s="53">
        <f>TRUNC((9.25-0.83)/0.83+1.9)</f>
        <v>12</v>
      </c>
      <c r="F68" s="53">
        <v>9</v>
      </c>
      <c r="G68" s="122" t="s">
        <v>57</v>
      </c>
      <c r="H68" s="154">
        <f>26+1.75*2</f>
        <v>29.5</v>
      </c>
      <c r="I68" s="55">
        <f t="shared" si="0"/>
        <v>1203.5999999999999</v>
      </c>
      <c r="J68" s="59"/>
      <c r="K68" s="4"/>
      <c r="L68" s="4"/>
      <c r="M68" s="4"/>
      <c r="N68" s="4"/>
      <c r="O68" s="4"/>
      <c r="P68" s="4"/>
      <c r="Q68" s="4"/>
      <c r="AK68" s="44">
        <f t="shared" si="1"/>
        <v>3.4</v>
      </c>
    </row>
    <row r="69" spans="2:37" ht="12.75" customHeight="1">
      <c r="B69" s="26">
        <f t="shared" si="2"/>
        <v>61</v>
      </c>
      <c r="C69" s="86" t="s">
        <v>399</v>
      </c>
      <c r="D69" s="53"/>
      <c r="E69" s="53">
        <f>TRUNC((9.25-1)/1+1.9)</f>
        <v>10</v>
      </c>
      <c r="F69" s="53">
        <v>6</v>
      </c>
      <c r="G69" s="122" t="s">
        <v>57</v>
      </c>
      <c r="H69" s="154">
        <f>8.33-0.083+1</f>
        <v>9.2469999999999999</v>
      </c>
      <c r="I69" s="55">
        <f t="shared" si="0"/>
        <v>138.88994</v>
      </c>
      <c r="J69" s="59"/>
      <c r="K69" s="4"/>
      <c r="L69" s="4"/>
      <c r="M69" s="34"/>
      <c r="N69" s="34"/>
      <c r="O69" s="4"/>
      <c r="P69" s="4"/>
      <c r="Q69" s="4"/>
      <c r="AK69" s="44">
        <f t="shared" si="1"/>
        <v>1.502</v>
      </c>
    </row>
    <row r="70" spans="2:37" ht="12.75" customHeight="1">
      <c r="B70" s="26">
        <f t="shared" si="2"/>
        <v>62</v>
      </c>
      <c r="C70" s="98" t="s">
        <v>487</v>
      </c>
      <c r="D70" s="53"/>
      <c r="E70" s="53"/>
      <c r="F70" s="53"/>
      <c r="G70" s="122"/>
      <c r="H70" s="154"/>
      <c r="I70" s="55">
        <f t="shared" si="0"/>
        <v>0</v>
      </c>
      <c r="J70" s="59"/>
      <c r="K70" s="4"/>
      <c r="L70" s="3"/>
      <c r="M70" s="34"/>
      <c r="N70" s="34"/>
      <c r="O70" s="4"/>
      <c r="P70" s="4"/>
      <c r="Q70" s="4"/>
      <c r="AK70" s="44">
        <f t="shared" si="1"/>
        <v>0</v>
      </c>
    </row>
    <row r="71" spans="2:37" ht="12.75" customHeight="1">
      <c r="B71" s="26">
        <f t="shared" si="2"/>
        <v>63</v>
      </c>
      <c r="C71" s="86" t="s">
        <v>397</v>
      </c>
      <c r="D71" s="53"/>
      <c r="E71" s="53">
        <f>TRUNC((10.58-1)/1+1.9)</f>
        <v>11</v>
      </c>
      <c r="F71" s="53">
        <v>7</v>
      </c>
      <c r="G71" s="122" t="s">
        <v>57</v>
      </c>
      <c r="H71" s="154">
        <f>19.33-0.083+0.5</f>
        <v>19.747</v>
      </c>
      <c r="I71" s="55">
        <f t="shared" si="0"/>
        <v>443.99154799999997</v>
      </c>
      <c r="J71" s="59"/>
      <c r="K71" s="4"/>
      <c r="L71" s="3"/>
      <c r="M71" s="34"/>
      <c r="N71" s="3"/>
      <c r="O71" s="4"/>
      <c r="P71" s="4"/>
      <c r="Q71" s="4"/>
      <c r="AK71" s="44">
        <f t="shared" si="1"/>
        <v>2.044</v>
      </c>
    </row>
    <row r="72" spans="2:37" ht="12.75" customHeight="1">
      <c r="B72" s="26">
        <f t="shared" si="2"/>
        <v>64</v>
      </c>
      <c r="C72" s="86" t="s">
        <v>399</v>
      </c>
      <c r="D72" s="53"/>
      <c r="E72" s="53">
        <f>TRUNC((10.58-1)/1+1.9)</f>
        <v>11</v>
      </c>
      <c r="F72" s="53">
        <v>6</v>
      </c>
      <c r="G72" s="122" t="s">
        <v>57</v>
      </c>
      <c r="H72" s="154">
        <f>29.67+0.5+0.5</f>
        <v>30.67</v>
      </c>
      <c r="I72" s="55">
        <f t="shared" si="0"/>
        <v>506.72974000000005</v>
      </c>
      <c r="J72" s="59"/>
      <c r="K72" s="4"/>
      <c r="L72" s="3"/>
      <c r="M72" s="34"/>
      <c r="N72" s="34"/>
      <c r="O72" s="4"/>
      <c r="P72" s="4"/>
      <c r="Q72" s="4"/>
      <c r="AK72" s="44">
        <f t="shared" si="1"/>
        <v>1.502</v>
      </c>
    </row>
    <row r="73" spans="2:37" ht="12.75" customHeight="1">
      <c r="B73" s="26">
        <f t="shared" si="2"/>
        <v>65</v>
      </c>
      <c r="C73" s="86" t="s">
        <v>101</v>
      </c>
      <c r="D73" s="53"/>
      <c r="E73" s="53">
        <f>TRUNC((10.58-1)/1+1.9)</f>
        <v>11</v>
      </c>
      <c r="F73" s="53">
        <v>5</v>
      </c>
      <c r="G73" s="122" t="s">
        <v>57</v>
      </c>
      <c r="H73" s="154">
        <f>23.67+0.5+0.5</f>
        <v>24.67</v>
      </c>
      <c r="I73" s="55">
        <f t="shared" si="0"/>
        <v>283.03891000000004</v>
      </c>
      <c r="J73" s="59"/>
      <c r="L73" s="3"/>
      <c r="M73" s="34"/>
      <c r="N73" s="34"/>
      <c r="O73" s="4"/>
      <c r="P73" s="4"/>
      <c r="Q73" s="4"/>
      <c r="AK73" s="44">
        <f t="shared" ref="AK73:AK136" si="3">IF(F73="",0,VLOOKUP(F73,$CI$16:$CJ$408,2,FALSE))</f>
        <v>1.0429999999999999</v>
      </c>
    </row>
    <row r="74" spans="2:37" ht="12.75" customHeight="1">
      <c r="B74" s="26">
        <f t="shared" ref="B74:B137" si="4">IF(B73="SL.NO",1,B73+1)</f>
        <v>66</v>
      </c>
      <c r="C74" s="86" t="s">
        <v>101</v>
      </c>
      <c r="D74" s="53"/>
      <c r="E74" s="53">
        <f>TRUNC((10.58-1)/1+1.9)</f>
        <v>11</v>
      </c>
      <c r="F74" s="53">
        <v>5</v>
      </c>
      <c r="G74" s="122" t="s">
        <v>57</v>
      </c>
      <c r="H74" s="154">
        <f>24.25+0.5+0.5</f>
        <v>25.25</v>
      </c>
      <c r="I74" s="55">
        <f t="shared" si="0"/>
        <v>289.69324999999998</v>
      </c>
      <c r="J74" s="59"/>
      <c r="K74" s="4"/>
      <c r="L74" s="4"/>
      <c r="M74" s="4"/>
      <c r="N74" s="4"/>
      <c r="O74" s="4"/>
      <c r="P74" s="4"/>
      <c r="Q74" s="4"/>
      <c r="AK74" s="44">
        <f t="shared" si="3"/>
        <v>1.0429999999999999</v>
      </c>
    </row>
    <row r="75" spans="2:37" ht="12.75" customHeight="1">
      <c r="B75" s="26">
        <f t="shared" si="4"/>
        <v>67</v>
      </c>
      <c r="C75" s="86" t="s">
        <v>407</v>
      </c>
      <c r="D75" s="53"/>
      <c r="E75" s="53">
        <f>TRUNC((7.83-0.83)/0.83+1.9)</f>
        <v>10</v>
      </c>
      <c r="F75" s="53">
        <v>7</v>
      </c>
      <c r="G75" s="122" t="s">
        <v>57</v>
      </c>
      <c r="H75" s="154">
        <f>32.33+0.083+0.5</f>
        <v>32.912999999999997</v>
      </c>
      <c r="I75" s="55">
        <f t="shared" si="0"/>
        <v>672.74171999999999</v>
      </c>
      <c r="J75" s="59"/>
      <c r="K75" s="4"/>
      <c r="L75" s="4"/>
      <c r="M75" s="4"/>
      <c r="N75" s="4"/>
      <c r="O75" s="4"/>
      <c r="P75" s="4"/>
      <c r="Q75" s="4"/>
      <c r="AK75" s="44">
        <f t="shared" si="3"/>
        <v>2.044</v>
      </c>
    </row>
    <row r="76" spans="2:37" ht="12.75" customHeight="1">
      <c r="B76" s="26">
        <f t="shared" si="4"/>
        <v>68</v>
      </c>
      <c r="C76" s="31" t="s">
        <v>101</v>
      </c>
      <c r="D76" s="35"/>
      <c r="E76" s="57">
        <f>TRUNC((7.5-1)/1+1.9)</f>
        <v>8</v>
      </c>
      <c r="F76" s="139">
        <v>5</v>
      </c>
      <c r="G76" s="122" t="s">
        <v>57</v>
      </c>
      <c r="H76" s="27">
        <f>7.58-0.083*2</f>
        <v>7.4139999999999997</v>
      </c>
      <c r="I76" s="55">
        <f t="shared" si="0"/>
        <v>61.862415999999996</v>
      </c>
      <c r="J76" s="59"/>
      <c r="K76" s="4"/>
      <c r="L76" s="4"/>
      <c r="M76" s="4"/>
      <c r="N76" s="4"/>
      <c r="O76" s="4"/>
      <c r="P76" s="4"/>
      <c r="Q76" s="4"/>
      <c r="AK76" s="44">
        <f t="shared" si="3"/>
        <v>1.0429999999999999</v>
      </c>
    </row>
    <row r="77" spans="2:37" ht="12.75" customHeight="1">
      <c r="B77" s="26">
        <f t="shared" si="4"/>
        <v>69</v>
      </c>
      <c r="C77" s="86" t="s">
        <v>401</v>
      </c>
      <c r="D77" s="53"/>
      <c r="E77" s="53">
        <f>TRUNC((3-0.83)/0.83+1.9)</f>
        <v>4</v>
      </c>
      <c r="F77" s="53">
        <v>9</v>
      </c>
      <c r="G77" s="122" t="s">
        <v>57</v>
      </c>
      <c r="H77" s="154">
        <f>23.67+0.5*2</f>
        <v>24.67</v>
      </c>
      <c r="I77" s="55">
        <f t="shared" si="0"/>
        <v>335.512</v>
      </c>
      <c r="J77" s="59"/>
      <c r="K77" s="4"/>
      <c r="L77" s="4"/>
      <c r="M77" s="4"/>
      <c r="N77" s="4"/>
      <c r="O77" s="4"/>
      <c r="P77" s="4"/>
      <c r="Q77" s="4"/>
      <c r="AK77" s="44">
        <f t="shared" si="3"/>
        <v>3.4</v>
      </c>
    </row>
    <row r="78" spans="2:37" ht="12.75" customHeight="1">
      <c r="B78" s="26">
        <f t="shared" si="4"/>
        <v>70</v>
      </c>
      <c r="C78" s="31" t="s">
        <v>399</v>
      </c>
      <c r="D78" s="35"/>
      <c r="E78" s="57">
        <f>TRUNC((7.42-1)/1+1.9)</f>
        <v>8</v>
      </c>
      <c r="F78" s="36">
        <v>6</v>
      </c>
      <c r="G78" s="122" t="s">
        <v>57</v>
      </c>
      <c r="H78" s="37">
        <f>8.33-0.083*2</f>
        <v>8.1639999999999997</v>
      </c>
      <c r="I78" s="55">
        <f t="shared" si="0"/>
        <v>98.098624000000001</v>
      </c>
      <c r="J78" s="59"/>
      <c r="K78" s="4"/>
      <c r="L78" s="4"/>
      <c r="M78" s="4"/>
      <c r="N78" s="4"/>
      <c r="O78" s="4"/>
      <c r="P78" s="4"/>
      <c r="Q78" s="4"/>
      <c r="AK78" s="44">
        <f t="shared" si="3"/>
        <v>1.502</v>
      </c>
    </row>
    <row r="79" spans="2:37" ht="12.75" customHeight="1">
      <c r="B79" s="26">
        <f t="shared" si="4"/>
        <v>71</v>
      </c>
      <c r="C79" s="31" t="s">
        <v>490</v>
      </c>
      <c r="D79" s="35"/>
      <c r="E79" s="57">
        <f>2*2</f>
        <v>4</v>
      </c>
      <c r="F79" s="139">
        <v>6</v>
      </c>
      <c r="G79" s="122" t="s">
        <v>57</v>
      </c>
      <c r="H79" s="27">
        <v>11.5</v>
      </c>
      <c r="I79" s="55">
        <f t="shared" si="0"/>
        <v>69.091999999999999</v>
      </c>
      <c r="J79" s="59"/>
      <c r="K79" s="4"/>
      <c r="L79" s="4"/>
      <c r="M79" s="4"/>
      <c r="N79" s="4"/>
      <c r="O79" s="4"/>
      <c r="P79" s="4"/>
      <c r="Q79" s="4"/>
      <c r="AK79" s="44">
        <f t="shared" si="3"/>
        <v>1.502</v>
      </c>
    </row>
    <row r="80" spans="2:37" ht="12.75" customHeight="1">
      <c r="B80" s="26">
        <f t="shared" si="4"/>
        <v>72</v>
      </c>
      <c r="C80" s="98" t="s">
        <v>491</v>
      </c>
      <c r="D80" s="53"/>
      <c r="E80" s="53"/>
      <c r="F80" s="53"/>
      <c r="G80" s="122"/>
      <c r="H80" s="154"/>
      <c r="I80" s="55">
        <f t="shared" si="0"/>
        <v>0</v>
      </c>
      <c r="J80" s="59"/>
      <c r="K80" s="4"/>
      <c r="L80" s="4"/>
      <c r="M80" s="4"/>
      <c r="N80" s="4"/>
      <c r="O80" s="4"/>
      <c r="P80" s="4"/>
      <c r="Q80" s="4"/>
      <c r="AK80" s="44">
        <f t="shared" si="3"/>
        <v>0</v>
      </c>
    </row>
    <row r="81" spans="2:37" ht="12.75" customHeight="1">
      <c r="B81" s="26">
        <f t="shared" si="4"/>
        <v>73</v>
      </c>
      <c r="C81" s="86" t="s">
        <v>395</v>
      </c>
      <c r="D81" s="53"/>
      <c r="E81" s="53">
        <f>TRUNC((11-1)/1+1.9)</f>
        <v>11</v>
      </c>
      <c r="F81" s="53">
        <v>8</v>
      </c>
      <c r="G81" s="122" t="s">
        <v>57</v>
      </c>
      <c r="H81" s="154">
        <f>18.67-0.083+1.42</f>
        <v>20.007000000000005</v>
      </c>
      <c r="I81" s="55">
        <f t="shared" si="0"/>
        <v>587.60559000000012</v>
      </c>
      <c r="J81" s="59"/>
      <c r="K81" s="4"/>
      <c r="M81" s="4"/>
      <c r="N81" s="4"/>
      <c r="O81" s="4"/>
      <c r="P81" s="4"/>
      <c r="Q81" s="4"/>
      <c r="AK81" s="44">
        <f t="shared" si="3"/>
        <v>2.67</v>
      </c>
    </row>
    <row r="82" spans="2:37" ht="12.75" customHeight="1">
      <c r="B82" s="26">
        <f t="shared" si="4"/>
        <v>74</v>
      </c>
      <c r="C82" s="86" t="s">
        <v>397</v>
      </c>
      <c r="D82" s="53"/>
      <c r="E82" s="53">
        <f>TRUNC((11-1)/1+1.9)</f>
        <v>11</v>
      </c>
      <c r="F82" s="53">
        <v>7</v>
      </c>
      <c r="G82" s="122" t="s">
        <v>57</v>
      </c>
      <c r="H82" s="154">
        <f>31.67+1.17*2</f>
        <v>34.010000000000005</v>
      </c>
      <c r="I82" s="55">
        <f t="shared" si="0"/>
        <v>764.68084000000022</v>
      </c>
      <c r="J82" s="59"/>
      <c r="K82" s="4"/>
      <c r="L82" s="4"/>
      <c r="M82" s="4"/>
      <c r="N82" s="4"/>
      <c r="O82" s="4"/>
      <c r="P82" s="4"/>
      <c r="Q82" s="4"/>
      <c r="AK82" s="44">
        <f t="shared" si="3"/>
        <v>2.044</v>
      </c>
    </row>
    <row r="83" spans="2:37" ht="12.75" customHeight="1">
      <c r="B83" s="26">
        <f t="shared" si="4"/>
        <v>75</v>
      </c>
      <c r="C83" s="86" t="s">
        <v>101</v>
      </c>
      <c r="D83" s="53"/>
      <c r="E83" s="53">
        <f>TRUNC((11-1)/1+1.9)</f>
        <v>11</v>
      </c>
      <c r="F83" s="53">
        <v>5</v>
      </c>
      <c r="G83" s="122" t="s">
        <v>57</v>
      </c>
      <c r="H83" s="154">
        <f>22.5+0.92*2</f>
        <v>24.34</v>
      </c>
      <c r="I83" s="55">
        <f t="shared" si="0"/>
        <v>279.25281999999999</v>
      </c>
      <c r="J83" s="59"/>
      <c r="K83" s="4"/>
      <c r="L83" s="4"/>
      <c r="M83" s="4"/>
      <c r="N83" s="4"/>
      <c r="O83" s="4"/>
      <c r="P83" s="4"/>
      <c r="Q83" s="4"/>
      <c r="AK83" s="44">
        <f t="shared" si="3"/>
        <v>1.0429999999999999</v>
      </c>
    </row>
    <row r="84" spans="2:37" ht="12.75" customHeight="1">
      <c r="B84" s="26">
        <f t="shared" si="4"/>
        <v>76</v>
      </c>
      <c r="C84" s="86" t="s">
        <v>101</v>
      </c>
      <c r="D84" s="53"/>
      <c r="E84" s="53">
        <f>TRUNC((11-1)/1+1.9)</f>
        <v>11</v>
      </c>
      <c r="F84" s="53">
        <v>5</v>
      </c>
      <c r="G84" s="122" t="s">
        <v>57</v>
      </c>
      <c r="H84" s="154">
        <f>26+0.92*2</f>
        <v>27.84</v>
      </c>
      <c r="I84" s="55">
        <f t="shared" si="0"/>
        <v>319.40832</v>
      </c>
      <c r="J84" s="59"/>
      <c r="L84" s="4"/>
      <c r="M84" s="4"/>
      <c r="N84" s="4"/>
      <c r="O84" s="4"/>
      <c r="P84" s="4"/>
      <c r="Q84" s="4"/>
      <c r="AK84" s="44">
        <f t="shared" si="3"/>
        <v>1.0429999999999999</v>
      </c>
    </row>
    <row r="85" spans="2:37" ht="12.75" customHeight="1">
      <c r="B85" s="26">
        <f t="shared" si="4"/>
        <v>77</v>
      </c>
      <c r="C85" s="86" t="s">
        <v>397</v>
      </c>
      <c r="D85" s="53"/>
      <c r="E85" s="53">
        <f>TRUNC((11-1)/1+1.9)</f>
        <v>11</v>
      </c>
      <c r="F85" s="53">
        <v>7</v>
      </c>
      <c r="G85" s="122" t="s">
        <v>57</v>
      </c>
      <c r="H85" s="154">
        <f>30.5+1.17*2</f>
        <v>32.840000000000003</v>
      </c>
      <c r="I85" s="55">
        <f t="shared" si="0"/>
        <v>738.37455999999997</v>
      </c>
      <c r="J85" s="59"/>
      <c r="K85" s="4"/>
      <c r="L85" s="4"/>
      <c r="M85" s="4"/>
      <c r="N85" s="4"/>
      <c r="O85" s="4"/>
      <c r="P85" s="4"/>
      <c r="Q85" s="4"/>
      <c r="AK85" s="44">
        <f t="shared" si="3"/>
        <v>2.044</v>
      </c>
    </row>
    <row r="86" spans="2:37" ht="12.75" customHeight="1">
      <c r="B86" s="26">
        <f t="shared" si="4"/>
        <v>78</v>
      </c>
      <c r="C86" s="31" t="s">
        <v>410</v>
      </c>
      <c r="D86" s="35"/>
      <c r="E86" s="53">
        <f>TRUNC((11-4-0.83-0.83)/0.83+1.9)</f>
        <v>8</v>
      </c>
      <c r="F86" s="36">
        <v>5</v>
      </c>
      <c r="G86" s="122" t="s">
        <v>57</v>
      </c>
      <c r="H86" s="37">
        <f>20+0.92*2</f>
        <v>21.84</v>
      </c>
      <c r="I86" s="55">
        <f t="shared" si="0"/>
        <v>182.23295999999999</v>
      </c>
      <c r="J86" s="59"/>
      <c r="K86" s="4"/>
      <c r="L86" s="4"/>
      <c r="M86" s="4"/>
      <c r="N86" s="4"/>
      <c r="O86" s="4"/>
      <c r="P86" s="4"/>
      <c r="Q86" s="4"/>
      <c r="AK86" s="44">
        <f t="shared" si="3"/>
        <v>1.0429999999999999</v>
      </c>
    </row>
    <row r="87" spans="2:37" ht="12.75" customHeight="1">
      <c r="B87" s="26">
        <f t="shared" si="4"/>
        <v>79</v>
      </c>
      <c r="C87" s="31" t="s">
        <v>410</v>
      </c>
      <c r="D87" s="35"/>
      <c r="E87" s="53">
        <f>TRUNC((4-0.83)/0.83+1.9)</f>
        <v>5</v>
      </c>
      <c r="F87" s="36">
        <v>5</v>
      </c>
      <c r="G87" s="122" t="s">
        <v>57</v>
      </c>
      <c r="H87" s="37">
        <f>13-0.083+0.92</f>
        <v>13.837</v>
      </c>
      <c r="I87" s="55">
        <f t="shared" si="0"/>
        <v>72.159954999999997</v>
      </c>
      <c r="J87" s="59"/>
      <c r="K87" s="4"/>
      <c r="L87" s="4"/>
      <c r="M87" s="4"/>
      <c r="N87" s="4"/>
      <c r="O87" s="4"/>
      <c r="P87" s="4"/>
      <c r="Q87" s="4"/>
      <c r="AK87" s="44">
        <f t="shared" si="3"/>
        <v>1.0429999999999999</v>
      </c>
    </row>
    <row r="88" spans="2:37" ht="12.75" customHeight="1">
      <c r="B88" s="26">
        <f t="shared" si="4"/>
        <v>80</v>
      </c>
      <c r="C88" s="31" t="s">
        <v>399</v>
      </c>
      <c r="D88" s="35"/>
      <c r="E88" s="57">
        <f>TRUNC((6.5-1)/1+1.9)</f>
        <v>7</v>
      </c>
      <c r="F88" s="139">
        <v>6</v>
      </c>
      <c r="G88" s="122" t="s">
        <v>57</v>
      </c>
      <c r="H88" s="27">
        <f>17.33-0.083+1</f>
        <v>18.247</v>
      </c>
      <c r="I88" s="55">
        <f t="shared" si="0"/>
        <v>191.84895800000001</v>
      </c>
      <c r="J88" s="59"/>
      <c r="K88" s="4"/>
      <c r="L88" s="4"/>
      <c r="M88" s="4"/>
      <c r="N88" s="4"/>
      <c r="O88" s="4"/>
      <c r="P88" s="4"/>
      <c r="Q88" s="4"/>
      <c r="AK88" s="44">
        <f t="shared" si="3"/>
        <v>1.502</v>
      </c>
    </row>
    <row r="89" spans="2:37" ht="12.75" customHeight="1">
      <c r="B89" s="26">
        <f t="shared" si="4"/>
        <v>81</v>
      </c>
      <c r="C89" s="86" t="s">
        <v>492</v>
      </c>
      <c r="D89" s="53"/>
      <c r="E89" s="53">
        <f>TRUNC((5.83-1)/1+1.9)</f>
        <v>6</v>
      </c>
      <c r="F89" s="53">
        <v>8</v>
      </c>
      <c r="G89" s="122" t="s">
        <v>57</v>
      </c>
      <c r="H89" s="154">
        <f>25.67+1.42+1.42</f>
        <v>28.510000000000005</v>
      </c>
      <c r="I89" s="55">
        <f t="shared" si="0"/>
        <v>456.73020000000008</v>
      </c>
      <c r="J89" s="59"/>
      <c r="K89" s="4"/>
      <c r="L89" s="4"/>
      <c r="M89" s="4"/>
      <c r="N89" s="4"/>
      <c r="O89" s="4"/>
      <c r="P89" s="4"/>
      <c r="Q89" s="4"/>
      <c r="AK89" s="44">
        <f t="shared" si="3"/>
        <v>2.67</v>
      </c>
    </row>
    <row r="90" spans="2:37" ht="12.75" customHeight="1">
      <c r="B90" s="26">
        <f t="shared" si="4"/>
        <v>82</v>
      </c>
      <c r="C90" s="98" t="s">
        <v>487</v>
      </c>
      <c r="D90" s="53"/>
      <c r="E90" s="53"/>
      <c r="F90" s="53"/>
      <c r="G90" s="122"/>
      <c r="H90" s="154"/>
      <c r="I90" s="55">
        <f t="shared" si="0"/>
        <v>0</v>
      </c>
      <c r="J90" s="59"/>
      <c r="K90" s="4"/>
      <c r="L90" s="4"/>
      <c r="M90" s="4"/>
      <c r="N90" s="4"/>
      <c r="O90" s="4"/>
      <c r="P90" s="4"/>
      <c r="Q90" s="4"/>
      <c r="AK90" s="44">
        <f t="shared" si="3"/>
        <v>0</v>
      </c>
    </row>
    <row r="91" spans="2:37" ht="12.75" customHeight="1">
      <c r="B91" s="26">
        <f t="shared" si="4"/>
        <v>83</v>
      </c>
      <c r="C91" s="86" t="s">
        <v>101</v>
      </c>
      <c r="D91" s="53"/>
      <c r="E91" s="53">
        <f>TRUNC((11.58-1)/1+1.9)</f>
        <v>12</v>
      </c>
      <c r="F91" s="53">
        <v>5</v>
      </c>
      <c r="G91" s="122" t="s">
        <v>57</v>
      </c>
      <c r="H91" s="154">
        <f>18.083-0.083+0.5</f>
        <v>18.5</v>
      </c>
      <c r="I91" s="55">
        <f t="shared" si="0"/>
        <v>231.54599999999996</v>
      </c>
      <c r="J91" s="59"/>
      <c r="K91" s="4"/>
      <c r="L91" s="4"/>
      <c r="M91" s="4"/>
      <c r="N91" s="4"/>
      <c r="O91" s="4"/>
      <c r="P91" s="4"/>
      <c r="Q91" s="4"/>
      <c r="AK91" s="44">
        <f t="shared" si="3"/>
        <v>1.0429999999999999</v>
      </c>
    </row>
    <row r="92" spans="2:37" ht="12.75" customHeight="1">
      <c r="B92" s="26">
        <f t="shared" si="4"/>
        <v>84</v>
      </c>
      <c r="C92" s="86" t="s">
        <v>397</v>
      </c>
      <c r="D92" s="53"/>
      <c r="E92" s="53">
        <f>TRUNC((11.58-1)/1+1.9)</f>
        <v>12</v>
      </c>
      <c r="F92" s="53">
        <v>7</v>
      </c>
      <c r="G92" s="122" t="s">
        <v>57</v>
      </c>
      <c r="H92" s="154">
        <f>31.58+0.5+0.5</f>
        <v>32.58</v>
      </c>
      <c r="I92" s="55">
        <f t="shared" si="0"/>
        <v>799.12223999999992</v>
      </c>
      <c r="J92" s="59"/>
      <c r="K92" s="4"/>
      <c r="M92" s="4"/>
      <c r="N92" s="4"/>
      <c r="O92" s="4"/>
      <c r="P92" s="4"/>
      <c r="Q92" s="4"/>
      <c r="AK92" s="44">
        <f t="shared" si="3"/>
        <v>2.044</v>
      </c>
    </row>
    <row r="93" spans="2:37" ht="12.75" customHeight="1">
      <c r="B93" s="26">
        <f t="shared" si="4"/>
        <v>85</v>
      </c>
      <c r="C93" s="86" t="s">
        <v>101</v>
      </c>
      <c r="D93" s="53"/>
      <c r="E93" s="53">
        <f>TRUNC((11.58-1)/1+1.9)</f>
        <v>12</v>
      </c>
      <c r="F93" s="53">
        <v>5</v>
      </c>
      <c r="G93" s="122" t="s">
        <v>57</v>
      </c>
      <c r="H93" s="154">
        <f>23.5-0.083+0.5</f>
        <v>23.917000000000002</v>
      </c>
      <c r="I93" s="55">
        <f t="shared" si="0"/>
        <v>299.34517199999999</v>
      </c>
      <c r="J93" s="59"/>
      <c r="K93" s="4"/>
      <c r="L93" s="4"/>
      <c r="M93" s="4"/>
      <c r="N93" s="4"/>
      <c r="O93" s="4"/>
      <c r="P93" s="4"/>
      <c r="Q93" s="4"/>
      <c r="AK93" s="44">
        <f t="shared" si="3"/>
        <v>1.0429999999999999</v>
      </c>
    </row>
    <row r="94" spans="2:37" ht="12.75" customHeight="1">
      <c r="B94" s="26">
        <f t="shared" si="4"/>
        <v>86</v>
      </c>
      <c r="C94" s="86" t="s">
        <v>101</v>
      </c>
      <c r="D94" s="53"/>
      <c r="E94" s="53">
        <f>TRUNC((11.58-1)/1+1.9)</f>
        <v>12</v>
      </c>
      <c r="F94" s="53">
        <v>5</v>
      </c>
      <c r="G94" s="122" t="s">
        <v>57</v>
      </c>
      <c r="H94" s="154">
        <f>25.67+0.5+0.5</f>
        <v>26.67</v>
      </c>
      <c r="I94" s="55">
        <f t="shared" si="0"/>
        <v>333.80171999999999</v>
      </c>
      <c r="J94" s="59"/>
      <c r="K94" s="4"/>
      <c r="L94" s="4"/>
      <c r="M94" s="4"/>
      <c r="N94" s="4"/>
      <c r="O94" s="4"/>
      <c r="P94" s="4"/>
      <c r="Q94" s="4"/>
      <c r="AK94" s="44">
        <f t="shared" si="3"/>
        <v>1.0429999999999999</v>
      </c>
    </row>
    <row r="95" spans="2:37" ht="12.75" customHeight="1">
      <c r="B95" s="26">
        <f t="shared" si="4"/>
        <v>87</v>
      </c>
      <c r="C95" s="86" t="s">
        <v>399</v>
      </c>
      <c r="D95" s="53"/>
      <c r="E95" s="53">
        <f>TRUNC((13.17-1)/1+1.9)</f>
        <v>14</v>
      </c>
      <c r="F95" s="53">
        <v>6</v>
      </c>
      <c r="G95" s="122" t="s">
        <v>57</v>
      </c>
      <c r="H95" s="154">
        <f>30.17+0.5+0.5</f>
        <v>31.17</v>
      </c>
      <c r="I95" s="55">
        <f t="shared" si="0"/>
        <v>655.44276000000002</v>
      </c>
      <c r="J95" s="59"/>
      <c r="L95" s="4"/>
      <c r="M95" s="4"/>
      <c r="N95" s="4"/>
      <c r="O95" s="4"/>
      <c r="P95" s="4"/>
      <c r="Q95" s="4"/>
      <c r="AK95" s="44">
        <f t="shared" si="3"/>
        <v>1.502</v>
      </c>
    </row>
    <row r="96" spans="2:37" ht="12.75" customHeight="1">
      <c r="B96" s="26">
        <f t="shared" si="4"/>
        <v>88</v>
      </c>
      <c r="C96" s="97" t="s">
        <v>101</v>
      </c>
      <c r="D96" s="39"/>
      <c r="E96" s="39">
        <f>TRUNC((14-1)/1+1.9)</f>
        <v>14</v>
      </c>
      <c r="F96" s="139">
        <v>5</v>
      </c>
      <c r="G96" s="122" t="s">
        <v>57</v>
      </c>
      <c r="H96" s="27">
        <f>20+0.92+0.92</f>
        <v>21.840000000000003</v>
      </c>
      <c r="I96" s="55">
        <f t="shared" si="0"/>
        <v>318.90768000000003</v>
      </c>
      <c r="J96" s="59"/>
      <c r="K96" s="4"/>
      <c r="L96" s="4"/>
      <c r="M96" s="4"/>
      <c r="N96" s="4"/>
      <c r="O96" s="4"/>
      <c r="P96" s="4"/>
      <c r="Q96" s="4"/>
      <c r="AK96" s="44">
        <f t="shared" si="3"/>
        <v>1.0429999999999999</v>
      </c>
    </row>
    <row r="97" spans="2:37" ht="12.75" customHeight="1">
      <c r="B97" s="26">
        <f t="shared" si="4"/>
        <v>89</v>
      </c>
      <c r="C97" s="97" t="s">
        <v>101</v>
      </c>
      <c r="D97" s="39"/>
      <c r="E97" s="39">
        <f>TRUNC((14-1)/1+1.9)</f>
        <v>14</v>
      </c>
      <c r="F97" s="139">
        <v>5</v>
      </c>
      <c r="G97" s="122" t="s">
        <v>57</v>
      </c>
      <c r="H97" s="27">
        <f>17.67-0.083+0.92</f>
        <v>18.507000000000005</v>
      </c>
      <c r="I97" s="55">
        <f t="shared" si="0"/>
        <v>270.23921400000006</v>
      </c>
      <c r="J97" s="59"/>
      <c r="K97" s="4"/>
      <c r="L97" s="4"/>
      <c r="M97" s="4"/>
      <c r="N97" s="4"/>
      <c r="O97" s="4"/>
      <c r="P97" s="4"/>
      <c r="Q97" s="4"/>
      <c r="AK97" s="44">
        <f t="shared" si="3"/>
        <v>1.0429999999999999</v>
      </c>
    </row>
    <row r="98" spans="2:37" ht="12.75" customHeight="1">
      <c r="B98" s="26">
        <f t="shared" si="4"/>
        <v>90</v>
      </c>
      <c r="C98" s="86" t="s">
        <v>492</v>
      </c>
      <c r="D98" s="53"/>
      <c r="E98" s="53">
        <f>TRUNC((9.5-1)/1+1.9)</f>
        <v>10</v>
      </c>
      <c r="F98" s="53">
        <v>8</v>
      </c>
      <c r="G98" s="122" t="s">
        <v>57</v>
      </c>
      <c r="H98" s="154">
        <f>25.67+0.5+0.5</f>
        <v>26.67</v>
      </c>
      <c r="I98" s="55">
        <f t="shared" si="0"/>
        <v>712.08899999999994</v>
      </c>
      <c r="J98" s="59"/>
      <c r="K98" s="4"/>
      <c r="L98" s="4"/>
      <c r="M98" s="4"/>
      <c r="N98" s="4"/>
      <c r="O98" s="4"/>
      <c r="P98" s="4"/>
      <c r="Q98" s="4"/>
      <c r="AK98" s="44">
        <f t="shared" si="3"/>
        <v>2.67</v>
      </c>
    </row>
    <row r="99" spans="2:37" ht="12.75" customHeight="1">
      <c r="B99" s="26">
        <f t="shared" si="4"/>
        <v>91</v>
      </c>
      <c r="C99" s="87" t="s">
        <v>493</v>
      </c>
      <c r="D99" s="39"/>
      <c r="E99" s="39"/>
      <c r="F99" s="139"/>
      <c r="G99" s="122"/>
      <c r="H99" s="27"/>
      <c r="I99" s="55">
        <f t="shared" si="0"/>
        <v>0</v>
      </c>
      <c r="J99" s="59"/>
      <c r="K99" s="4"/>
      <c r="L99" s="4"/>
      <c r="M99" s="4"/>
      <c r="N99" s="4"/>
      <c r="O99" s="4"/>
      <c r="P99" s="4"/>
      <c r="Q99" s="4"/>
      <c r="AK99" s="44">
        <f t="shared" si="3"/>
        <v>0</v>
      </c>
    </row>
    <row r="100" spans="2:37" ht="12.75" customHeight="1">
      <c r="B100" s="26">
        <f t="shared" si="4"/>
        <v>92</v>
      </c>
      <c r="C100" s="97" t="s">
        <v>395</v>
      </c>
      <c r="D100" s="39"/>
      <c r="E100" s="39">
        <f>TRUNC((5.83-0.083-0.5)/1+1.9)</f>
        <v>7</v>
      </c>
      <c r="F100" s="139">
        <v>8</v>
      </c>
      <c r="G100" s="122" t="s">
        <v>57</v>
      </c>
      <c r="H100" s="27">
        <f>17.75-0.083+1.42</f>
        <v>19.087000000000003</v>
      </c>
      <c r="I100" s="55">
        <f t="shared" si="0"/>
        <v>356.73603000000008</v>
      </c>
      <c r="J100" s="59"/>
      <c r="K100" s="4"/>
      <c r="L100" s="4"/>
      <c r="M100" s="4"/>
      <c r="N100" s="4"/>
      <c r="O100" s="4"/>
      <c r="P100" s="4"/>
      <c r="Q100" s="4"/>
      <c r="AK100" s="44">
        <f t="shared" si="3"/>
        <v>2.67</v>
      </c>
    </row>
    <row r="101" spans="2:37" ht="12.75" customHeight="1">
      <c r="B101" s="26">
        <f t="shared" si="4"/>
        <v>93</v>
      </c>
      <c r="C101" s="97" t="s">
        <v>395</v>
      </c>
      <c r="D101" s="39"/>
      <c r="E101" s="39">
        <f>TRUNC((11.5-0.083*2)/1+1.9)</f>
        <v>13</v>
      </c>
      <c r="F101" s="139">
        <v>8</v>
      </c>
      <c r="G101" s="122" t="s">
        <v>57</v>
      </c>
      <c r="H101" s="27">
        <f>31.58-0.083*2</f>
        <v>31.413999999999998</v>
      </c>
      <c r="I101" s="55">
        <f t="shared" si="0"/>
        <v>1090.3799399999998</v>
      </c>
      <c r="J101" s="59"/>
      <c r="K101" s="4"/>
      <c r="L101" s="4"/>
      <c r="M101" s="4"/>
      <c r="N101" s="4"/>
      <c r="O101" s="4"/>
      <c r="P101" s="4"/>
      <c r="Q101" s="4"/>
      <c r="AK101" s="44">
        <f t="shared" si="3"/>
        <v>2.67</v>
      </c>
    </row>
    <row r="102" spans="2:37" ht="12.75" customHeight="1">
      <c r="B102" s="26">
        <f t="shared" si="4"/>
        <v>94</v>
      </c>
      <c r="C102" s="97" t="s">
        <v>101</v>
      </c>
      <c r="D102" s="39"/>
      <c r="E102" s="39">
        <f>TRUNC((5.83-0.083-0.5)/1+1.9)</f>
        <v>7</v>
      </c>
      <c r="F102" s="139">
        <v>5</v>
      </c>
      <c r="G102" s="122" t="s">
        <v>57</v>
      </c>
      <c r="H102" s="27">
        <f>23.5+0.92+0.92</f>
        <v>25.340000000000003</v>
      </c>
      <c r="I102" s="55">
        <f t="shared" si="0"/>
        <v>185.00734000000003</v>
      </c>
      <c r="J102" s="59"/>
      <c r="K102" s="4"/>
      <c r="L102" s="4"/>
      <c r="M102" s="4"/>
      <c r="N102" s="4"/>
      <c r="O102" s="4"/>
      <c r="P102" s="4"/>
      <c r="Q102" s="4"/>
      <c r="AK102" s="44">
        <f t="shared" si="3"/>
        <v>1.0429999999999999</v>
      </c>
    </row>
    <row r="103" spans="2:37" ht="12.75" customHeight="1">
      <c r="B103" s="26">
        <f t="shared" si="4"/>
        <v>95</v>
      </c>
      <c r="C103" s="97" t="s">
        <v>101</v>
      </c>
      <c r="D103" s="39"/>
      <c r="E103" s="39">
        <f>TRUNC((5.83-0.083-0.5)/1+1.9)</f>
        <v>7</v>
      </c>
      <c r="F103" s="139">
        <v>5</v>
      </c>
      <c r="G103" s="122" t="s">
        <v>57</v>
      </c>
      <c r="H103" s="27">
        <f>26+0.92+0.92</f>
        <v>27.840000000000003</v>
      </c>
      <c r="I103" s="55">
        <f t="shared" ref="I103:I207" si="5">IF(D103="",AK103*H103*E103,AK103*H103*E103*D103)</f>
        <v>203.25984</v>
      </c>
      <c r="J103" s="59"/>
      <c r="K103" s="4"/>
      <c r="M103" s="4"/>
      <c r="N103" s="4"/>
      <c r="O103" s="4"/>
      <c r="P103" s="4"/>
      <c r="Q103" s="4"/>
      <c r="AK103" s="44">
        <f t="shared" si="3"/>
        <v>1.0429999999999999</v>
      </c>
    </row>
    <row r="104" spans="2:37" ht="12.75" customHeight="1">
      <c r="B104" s="26">
        <f t="shared" si="4"/>
        <v>96</v>
      </c>
      <c r="C104" s="97" t="s">
        <v>397</v>
      </c>
      <c r="D104" s="39"/>
      <c r="E104" s="39">
        <f>TRUNC((6.5-0.083-0.5)/1+1.9)</f>
        <v>7</v>
      </c>
      <c r="F104" s="139">
        <v>7</v>
      </c>
      <c r="G104" s="122" t="s">
        <v>57</v>
      </c>
      <c r="H104" s="27">
        <f>30.5+0.92+0.92</f>
        <v>32.340000000000003</v>
      </c>
      <c r="I104" s="55">
        <f t="shared" si="5"/>
        <v>462.72072000000009</v>
      </c>
      <c r="J104" s="59"/>
      <c r="K104" s="4"/>
      <c r="L104" s="4"/>
      <c r="M104" s="4"/>
      <c r="N104" s="4"/>
      <c r="O104" s="4"/>
      <c r="P104" s="4"/>
      <c r="Q104" s="4"/>
      <c r="AK104" s="44">
        <f t="shared" si="3"/>
        <v>2.044</v>
      </c>
    </row>
    <row r="105" spans="2:37" ht="12.75" customHeight="1">
      <c r="B105" s="26">
        <f t="shared" si="4"/>
        <v>97</v>
      </c>
      <c r="C105" s="97" t="s">
        <v>410</v>
      </c>
      <c r="D105" s="39"/>
      <c r="E105" s="39">
        <f>TRUNC((6.5-0.083-0.42)/0.83+1.9)</f>
        <v>9</v>
      </c>
      <c r="F105" s="139">
        <v>5</v>
      </c>
      <c r="G105" s="122" t="s">
        <v>57</v>
      </c>
      <c r="H105" s="27">
        <f>20+0.92+0.92</f>
        <v>21.840000000000003</v>
      </c>
      <c r="I105" s="55">
        <f t="shared" si="5"/>
        <v>205.01208000000003</v>
      </c>
      <c r="J105" s="59"/>
      <c r="K105" s="4"/>
      <c r="L105" s="4"/>
      <c r="M105" s="4"/>
      <c r="N105" s="4"/>
      <c r="O105" s="4"/>
      <c r="P105" s="4"/>
      <c r="Q105" s="4"/>
      <c r="AK105" s="44">
        <f t="shared" si="3"/>
        <v>1.0429999999999999</v>
      </c>
    </row>
    <row r="106" spans="2:37" ht="12.75" customHeight="1">
      <c r="B106" s="26">
        <f t="shared" si="4"/>
        <v>98</v>
      </c>
      <c r="C106" s="97" t="s">
        <v>399</v>
      </c>
      <c r="D106" s="39"/>
      <c r="E106" s="39">
        <f>TRUNC((6.5-0.083-0.5)/1+1.9)</f>
        <v>7</v>
      </c>
      <c r="F106" s="139">
        <v>6</v>
      </c>
      <c r="G106" s="122" t="s">
        <v>57</v>
      </c>
      <c r="H106" s="27">
        <f>17.33-0.083+1</f>
        <v>18.247</v>
      </c>
      <c r="I106" s="55">
        <f t="shared" si="5"/>
        <v>191.84895800000001</v>
      </c>
      <c r="J106" s="59"/>
      <c r="L106" s="4"/>
      <c r="M106" s="4"/>
      <c r="N106" s="4"/>
      <c r="O106" s="4"/>
      <c r="P106" s="4"/>
      <c r="Q106" s="4"/>
      <c r="AK106" s="44">
        <f t="shared" si="3"/>
        <v>1.502</v>
      </c>
    </row>
    <row r="107" spans="2:37" ht="12.75" customHeight="1">
      <c r="B107" s="26">
        <f t="shared" si="4"/>
        <v>99</v>
      </c>
      <c r="C107" s="162" t="s">
        <v>494</v>
      </c>
      <c r="D107" s="39"/>
      <c r="E107" s="39"/>
      <c r="F107" s="139"/>
      <c r="G107" s="122"/>
      <c r="H107" s="27"/>
      <c r="I107" s="55">
        <f t="shared" si="5"/>
        <v>0</v>
      </c>
      <c r="J107" s="59"/>
      <c r="K107" s="4"/>
      <c r="L107" s="4"/>
      <c r="M107" s="4"/>
      <c r="N107" s="4"/>
      <c r="O107" s="4"/>
      <c r="P107" s="4"/>
      <c r="Q107" s="4"/>
      <c r="AK107" s="44">
        <f t="shared" si="3"/>
        <v>0</v>
      </c>
    </row>
    <row r="108" spans="2:37" ht="12.75" customHeight="1">
      <c r="B108" s="26">
        <f t="shared" si="4"/>
        <v>100</v>
      </c>
      <c r="C108" s="87" t="s">
        <v>495</v>
      </c>
      <c r="D108" s="39"/>
      <c r="E108" s="39"/>
      <c r="F108" s="139"/>
      <c r="G108" s="122"/>
      <c r="H108" s="27"/>
      <c r="I108" s="55">
        <f t="shared" si="5"/>
        <v>0</v>
      </c>
      <c r="J108" s="59"/>
      <c r="K108" s="4"/>
      <c r="L108" s="4"/>
      <c r="M108" s="4"/>
      <c r="N108" s="4"/>
      <c r="O108" s="4"/>
      <c r="P108" s="4"/>
      <c r="Q108" s="4"/>
      <c r="AK108" s="44">
        <f t="shared" si="3"/>
        <v>0</v>
      </c>
    </row>
    <row r="109" spans="2:37" ht="12.75" customHeight="1">
      <c r="B109" s="26">
        <f t="shared" si="4"/>
        <v>101</v>
      </c>
      <c r="C109" s="97" t="s">
        <v>415</v>
      </c>
      <c r="D109" s="39"/>
      <c r="E109" s="39">
        <f>TRUNC((5-0.083-0.5)/1+1.9)</f>
        <v>6</v>
      </c>
      <c r="F109" s="139">
        <v>7</v>
      </c>
      <c r="G109" s="122" t="s">
        <v>65</v>
      </c>
      <c r="H109" s="27">
        <f>(0.35*28.67)+(5.25-0.083)+(1.083-0.083*2)</f>
        <v>16.118500000000001</v>
      </c>
      <c r="I109" s="55">
        <f t="shared" si="5"/>
        <v>197.67728400000004</v>
      </c>
      <c r="J109" s="59"/>
      <c r="L109" s="4"/>
      <c r="M109" s="4"/>
      <c r="N109" s="4"/>
      <c r="O109" s="4"/>
      <c r="P109" s="4"/>
      <c r="Q109" s="4"/>
      <c r="AK109" s="44">
        <f t="shared" si="3"/>
        <v>2.044</v>
      </c>
    </row>
    <row r="110" spans="2:37" ht="12.75" customHeight="1">
      <c r="B110" s="26">
        <f t="shared" si="4"/>
        <v>102</v>
      </c>
      <c r="C110" s="97" t="s">
        <v>427</v>
      </c>
      <c r="D110" s="39"/>
      <c r="E110" s="39">
        <f>TRUNC((5-0.083-0.42)/0.83+1.9)</f>
        <v>7</v>
      </c>
      <c r="F110" s="139">
        <v>8</v>
      </c>
      <c r="G110" s="122" t="s">
        <v>57</v>
      </c>
      <c r="H110" s="27">
        <f>(0.35*28.67)*2</f>
        <v>20.068999999999999</v>
      </c>
      <c r="I110" s="55">
        <f t="shared" si="5"/>
        <v>375.08960999999999</v>
      </c>
      <c r="J110" s="59"/>
      <c r="K110" s="4"/>
      <c r="L110" s="4"/>
      <c r="M110" s="4"/>
      <c r="N110" s="4"/>
      <c r="O110" s="4"/>
      <c r="P110" s="4"/>
      <c r="Q110" s="4"/>
      <c r="AK110" s="44">
        <f t="shared" si="3"/>
        <v>2.67</v>
      </c>
    </row>
    <row r="111" spans="2:37" ht="12.75" customHeight="1">
      <c r="B111" s="26">
        <f t="shared" si="4"/>
        <v>103</v>
      </c>
      <c r="C111" s="97" t="s">
        <v>430</v>
      </c>
      <c r="D111" s="39"/>
      <c r="E111" s="39">
        <f>TRUNC((5-0.083-0.5)/1+1.9)</f>
        <v>6</v>
      </c>
      <c r="F111" s="139">
        <v>8</v>
      </c>
      <c r="G111" s="122" t="s">
        <v>57</v>
      </c>
      <c r="H111" s="27">
        <f>(0.35*28.17)*2</f>
        <v>19.719000000000001</v>
      </c>
      <c r="I111" s="55">
        <f t="shared" si="5"/>
        <v>315.89838000000003</v>
      </c>
      <c r="J111" s="59"/>
      <c r="K111" s="4"/>
      <c r="L111" s="4"/>
      <c r="M111" s="4"/>
      <c r="N111" s="4"/>
      <c r="O111" s="4"/>
      <c r="P111" s="4"/>
      <c r="Q111" s="4"/>
      <c r="AK111" s="44">
        <f t="shared" si="3"/>
        <v>2.67</v>
      </c>
    </row>
    <row r="112" spans="2:37" ht="12.75" customHeight="1">
      <c r="B112" s="26">
        <f t="shared" si="4"/>
        <v>104</v>
      </c>
      <c r="C112" s="97" t="s">
        <v>429</v>
      </c>
      <c r="D112" s="39"/>
      <c r="E112" s="39">
        <f>TRUNC((5-0.083-0.5)/1+1.9)</f>
        <v>6</v>
      </c>
      <c r="F112" s="139">
        <v>9</v>
      </c>
      <c r="G112" s="122" t="s">
        <v>57</v>
      </c>
      <c r="H112" s="27">
        <f>(0.35*29)*2</f>
        <v>20.299999999999997</v>
      </c>
      <c r="I112" s="55">
        <f t="shared" si="5"/>
        <v>414.11999999999989</v>
      </c>
      <c r="J112" s="59"/>
      <c r="K112" s="4"/>
      <c r="L112" s="4"/>
      <c r="M112" s="4"/>
      <c r="N112" s="4"/>
      <c r="O112" s="4"/>
      <c r="P112" s="4"/>
      <c r="Q112" s="4"/>
      <c r="AK112" s="44">
        <f t="shared" si="3"/>
        <v>3.4</v>
      </c>
    </row>
    <row r="113" spans="2:37" ht="12.75" customHeight="1">
      <c r="B113" s="26">
        <f t="shared" si="4"/>
        <v>105</v>
      </c>
      <c r="C113" s="97" t="s">
        <v>420</v>
      </c>
      <c r="D113" s="39"/>
      <c r="E113" s="39">
        <f>TRUNC((5-0.083-0.5)/1+1.9)</f>
        <v>6</v>
      </c>
      <c r="F113" s="139">
        <v>5</v>
      </c>
      <c r="G113" s="122" t="s">
        <v>57</v>
      </c>
      <c r="H113" s="27">
        <f>(0.35*29)*2</f>
        <v>20.299999999999997</v>
      </c>
      <c r="I113" s="55">
        <f t="shared" si="5"/>
        <v>127.03739999999996</v>
      </c>
      <c r="J113" s="59"/>
      <c r="K113" s="4"/>
      <c r="L113" s="4"/>
      <c r="M113" s="4"/>
      <c r="N113" s="4"/>
      <c r="O113" s="4"/>
      <c r="P113" s="4"/>
      <c r="Q113" s="4"/>
      <c r="AK113" s="44">
        <f t="shared" si="3"/>
        <v>1.0429999999999999</v>
      </c>
    </row>
    <row r="114" spans="2:37" ht="12.75" customHeight="1">
      <c r="B114" s="26">
        <f t="shared" si="4"/>
        <v>106</v>
      </c>
      <c r="C114" s="87" t="s">
        <v>487</v>
      </c>
      <c r="D114" s="39"/>
      <c r="E114" s="39"/>
      <c r="F114" s="139"/>
      <c r="G114" s="122"/>
      <c r="H114" s="27"/>
      <c r="I114" s="55">
        <f t="shared" si="5"/>
        <v>0</v>
      </c>
      <c r="J114" s="59"/>
      <c r="K114" s="4"/>
      <c r="L114" s="4"/>
      <c r="M114" s="4"/>
      <c r="N114" s="4"/>
      <c r="O114" s="4"/>
      <c r="P114" s="4"/>
      <c r="Q114" s="4"/>
      <c r="AK114" s="44">
        <f t="shared" si="3"/>
        <v>0</v>
      </c>
    </row>
    <row r="115" spans="2:37" ht="12.75" customHeight="1">
      <c r="B115" s="26">
        <f t="shared" si="4"/>
        <v>107</v>
      </c>
      <c r="C115" s="97" t="s">
        <v>420</v>
      </c>
      <c r="D115" s="39"/>
      <c r="E115" s="39">
        <f>TRUNC((8-1)/1+1.9)</f>
        <v>8</v>
      </c>
      <c r="F115" s="139">
        <v>5</v>
      </c>
      <c r="G115" s="122" t="s">
        <v>65</v>
      </c>
      <c r="H115" s="27">
        <f>(0.25*28.67)+(5.25-0.083)+(1.083-0.083*2)</f>
        <v>13.2515</v>
      </c>
      <c r="I115" s="55">
        <f t="shared" si="5"/>
        <v>110.570516</v>
      </c>
      <c r="J115" s="59"/>
      <c r="K115" s="4"/>
      <c r="L115" s="4"/>
      <c r="M115" s="4"/>
      <c r="N115" s="4"/>
      <c r="O115" s="4"/>
      <c r="P115" s="4"/>
      <c r="Q115" s="4"/>
      <c r="AK115" s="44">
        <f t="shared" si="3"/>
        <v>1.0429999999999999</v>
      </c>
    </row>
    <row r="116" spans="2:37" ht="12.75" customHeight="1">
      <c r="B116" s="26">
        <f t="shared" si="4"/>
        <v>108</v>
      </c>
      <c r="C116" s="97" t="s">
        <v>431</v>
      </c>
      <c r="D116" s="39"/>
      <c r="E116" s="39">
        <f>TRUNC((8-1)/1+1.9)</f>
        <v>8</v>
      </c>
      <c r="F116" s="139">
        <v>6</v>
      </c>
      <c r="G116" s="122" t="s">
        <v>65</v>
      </c>
      <c r="H116" s="27">
        <f>(0.25*28.67)*2</f>
        <v>14.335000000000001</v>
      </c>
      <c r="I116" s="55">
        <f t="shared" si="5"/>
        <v>172.24936000000002</v>
      </c>
      <c r="J116" s="59"/>
      <c r="K116" s="4"/>
      <c r="L116" s="4"/>
      <c r="M116" s="4"/>
      <c r="N116" s="4"/>
      <c r="O116" s="4"/>
      <c r="P116" s="4"/>
      <c r="Q116" s="4"/>
      <c r="AK116" s="44">
        <f t="shared" si="3"/>
        <v>1.502</v>
      </c>
    </row>
    <row r="117" spans="2:37" ht="12.75" customHeight="1">
      <c r="B117" s="26">
        <f t="shared" si="4"/>
        <v>109</v>
      </c>
      <c r="C117" s="97" t="s">
        <v>431</v>
      </c>
      <c r="D117" s="39"/>
      <c r="E117" s="39">
        <f>TRUNC((8-1)/1+1.9)</f>
        <v>8</v>
      </c>
      <c r="F117" s="139">
        <v>6</v>
      </c>
      <c r="G117" s="122" t="s">
        <v>65</v>
      </c>
      <c r="H117" s="27">
        <f>(0.25*28.17)*2</f>
        <v>14.085000000000001</v>
      </c>
      <c r="I117" s="55">
        <f t="shared" si="5"/>
        <v>169.24536000000001</v>
      </c>
      <c r="J117" s="59"/>
      <c r="K117" s="4"/>
      <c r="M117" s="4"/>
      <c r="N117" s="4"/>
      <c r="O117" s="4"/>
      <c r="P117" s="4"/>
      <c r="Q117" s="4"/>
      <c r="AK117" s="44">
        <f t="shared" si="3"/>
        <v>1.502</v>
      </c>
    </row>
    <row r="118" spans="2:37" ht="12.75" customHeight="1">
      <c r="B118" s="26">
        <f t="shared" si="4"/>
        <v>110</v>
      </c>
      <c r="C118" s="97" t="s">
        <v>415</v>
      </c>
      <c r="D118" s="39"/>
      <c r="E118" s="39">
        <f>TRUNC((8-1)/1+1.9)</f>
        <v>8</v>
      </c>
      <c r="F118" s="139">
        <v>7</v>
      </c>
      <c r="G118" s="122" t="s">
        <v>57</v>
      </c>
      <c r="H118" s="27">
        <f>(0.25*29)*2</f>
        <v>14.5</v>
      </c>
      <c r="I118" s="55">
        <f t="shared" si="5"/>
        <v>237.10400000000001</v>
      </c>
      <c r="J118" s="59"/>
      <c r="K118" s="4"/>
      <c r="L118" s="4"/>
      <c r="M118" s="4"/>
      <c r="N118" s="4"/>
      <c r="O118" s="4"/>
      <c r="P118" s="4"/>
      <c r="Q118" s="4"/>
      <c r="AK118" s="44">
        <f t="shared" si="3"/>
        <v>2.044</v>
      </c>
    </row>
    <row r="119" spans="2:37" ht="12.75" customHeight="1">
      <c r="B119" s="26">
        <f t="shared" si="4"/>
        <v>111</v>
      </c>
      <c r="C119" s="97" t="s">
        <v>420</v>
      </c>
      <c r="D119" s="39"/>
      <c r="E119" s="39">
        <f>TRUNC((8-1)/1+1.9)</f>
        <v>8</v>
      </c>
      <c r="F119" s="139">
        <v>5</v>
      </c>
      <c r="G119" s="122" t="s">
        <v>57</v>
      </c>
      <c r="H119" s="27">
        <f>(0.25*29)*2</f>
        <v>14.5</v>
      </c>
      <c r="I119" s="55">
        <f t="shared" si="5"/>
        <v>120.98799999999999</v>
      </c>
      <c r="J119" s="59"/>
      <c r="K119" s="4"/>
      <c r="L119" s="4"/>
      <c r="M119" s="4"/>
      <c r="N119" s="4"/>
      <c r="O119" s="4"/>
      <c r="P119" s="4"/>
      <c r="Q119" s="4"/>
      <c r="AK119" s="44">
        <f t="shared" si="3"/>
        <v>1.0429999999999999</v>
      </c>
    </row>
    <row r="120" spans="2:37" ht="12.75" customHeight="1">
      <c r="B120" s="26">
        <f t="shared" si="4"/>
        <v>112</v>
      </c>
      <c r="C120" s="87" t="s">
        <v>280</v>
      </c>
      <c r="D120" s="39"/>
      <c r="E120" s="39"/>
      <c r="F120" s="139"/>
      <c r="G120" s="122"/>
      <c r="H120" s="27"/>
      <c r="I120" s="55">
        <f t="shared" si="5"/>
        <v>0</v>
      </c>
      <c r="J120" s="59"/>
      <c r="L120" s="4"/>
      <c r="M120" s="4"/>
      <c r="N120" s="4"/>
      <c r="O120" s="4"/>
      <c r="P120" s="4"/>
      <c r="Q120" s="4"/>
      <c r="AK120" s="44">
        <f t="shared" si="3"/>
        <v>0</v>
      </c>
    </row>
    <row r="121" spans="2:37" ht="12.75" customHeight="1">
      <c r="B121" s="26">
        <f t="shared" si="4"/>
        <v>113</v>
      </c>
      <c r="C121" s="97" t="s">
        <v>431</v>
      </c>
      <c r="D121" s="39"/>
      <c r="E121" s="39">
        <f>TRUNC((12.67-1)/1+1.9)</f>
        <v>13</v>
      </c>
      <c r="F121" s="139">
        <v>6</v>
      </c>
      <c r="G121" s="122" t="s">
        <v>65</v>
      </c>
      <c r="H121" s="27">
        <f>(0.35*20)+(1.083-0.083*2)</f>
        <v>7.9169999999999998</v>
      </c>
      <c r="I121" s="55">
        <f t="shared" si="5"/>
        <v>154.58734200000001</v>
      </c>
      <c r="J121" s="59"/>
      <c r="K121" s="4"/>
      <c r="L121" s="4"/>
      <c r="M121" s="4"/>
      <c r="N121" s="4"/>
      <c r="O121" s="4"/>
      <c r="P121" s="4"/>
      <c r="Q121" s="4"/>
      <c r="AK121" s="44">
        <f t="shared" si="3"/>
        <v>1.502</v>
      </c>
    </row>
    <row r="122" spans="2:37" ht="12.75" customHeight="1">
      <c r="B122" s="26">
        <f t="shared" si="4"/>
        <v>114</v>
      </c>
      <c r="C122" s="97" t="s">
        <v>435</v>
      </c>
      <c r="D122" s="39"/>
      <c r="E122" s="39">
        <f>TRUNC((12.67-0.25)/0.5+1.9)</f>
        <v>26</v>
      </c>
      <c r="F122" s="139">
        <v>9</v>
      </c>
      <c r="G122" s="122" t="s">
        <v>57</v>
      </c>
      <c r="H122" s="27">
        <f>(0.35*28.67)*2</f>
        <v>20.068999999999999</v>
      </c>
      <c r="I122" s="55">
        <f t="shared" si="5"/>
        <v>1774.0996</v>
      </c>
      <c r="J122" s="59"/>
      <c r="K122" s="4"/>
      <c r="L122" s="4"/>
      <c r="M122" s="4"/>
      <c r="N122" s="4"/>
      <c r="O122" s="4"/>
      <c r="P122" s="4"/>
      <c r="Q122" s="4"/>
      <c r="AK122" s="44">
        <f t="shared" si="3"/>
        <v>3.4</v>
      </c>
    </row>
    <row r="123" spans="2:37" ht="12.75" customHeight="1">
      <c r="B123" s="26">
        <f t="shared" si="4"/>
        <v>115</v>
      </c>
      <c r="C123" s="97" t="s">
        <v>430</v>
      </c>
      <c r="D123" s="39"/>
      <c r="E123" s="39">
        <f>TRUNC((12.67-0.5)/1+1.9)</f>
        <v>14</v>
      </c>
      <c r="F123" s="139">
        <v>8</v>
      </c>
      <c r="G123" s="122" t="s">
        <v>57</v>
      </c>
      <c r="H123" s="27">
        <f>(0.35*28.67)*2</f>
        <v>20.068999999999999</v>
      </c>
      <c r="I123" s="55">
        <f t="shared" si="5"/>
        <v>750.17921999999999</v>
      </c>
      <c r="J123" s="59"/>
      <c r="K123" s="4"/>
      <c r="L123" s="4"/>
      <c r="M123" s="4"/>
      <c r="N123" s="4"/>
      <c r="O123" s="4"/>
      <c r="P123" s="4"/>
      <c r="Q123" s="4"/>
      <c r="AK123" s="44">
        <f t="shared" si="3"/>
        <v>2.67</v>
      </c>
    </row>
    <row r="124" spans="2:37" ht="12.75" customHeight="1">
      <c r="B124" s="26">
        <f t="shared" si="4"/>
        <v>116</v>
      </c>
      <c r="C124" s="97" t="s">
        <v>430</v>
      </c>
      <c r="D124" s="39"/>
      <c r="E124" s="39">
        <f>TRUNC((12.67-0.5)/1+1.9)</f>
        <v>14</v>
      </c>
      <c r="F124" s="139">
        <v>8</v>
      </c>
      <c r="G124" s="122" t="s">
        <v>57</v>
      </c>
      <c r="H124" s="27">
        <f>(0.35*28.17)*2</f>
        <v>19.719000000000001</v>
      </c>
      <c r="I124" s="55">
        <f t="shared" si="5"/>
        <v>737.09622000000013</v>
      </c>
      <c r="J124" s="59"/>
      <c r="K124" s="4"/>
      <c r="L124" s="4"/>
      <c r="M124" s="4"/>
      <c r="N124" s="4"/>
      <c r="O124" s="4"/>
      <c r="P124" s="4"/>
      <c r="Q124" s="4"/>
      <c r="AK124" s="44">
        <f t="shared" si="3"/>
        <v>2.67</v>
      </c>
    </row>
    <row r="125" spans="2:37" ht="12.75" customHeight="1">
      <c r="B125" s="26">
        <f t="shared" si="4"/>
        <v>117</v>
      </c>
      <c r="C125" s="97" t="s">
        <v>429</v>
      </c>
      <c r="D125" s="39"/>
      <c r="E125" s="39">
        <f>TRUNC((12.67-0.5)/1+1.9)</f>
        <v>14</v>
      </c>
      <c r="F125" s="139">
        <v>9</v>
      </c>
      <c r="G125" s="122" t="s">
        <v>57</v>
      </c>
      <c r="H125" s="27">
        <f>(0.35*29)*2</f>
        <v>20.299999999999997</v>
      </c>
      <c r="I125" s="55">
        <f t="shared" si="5"/>
        <v>966.27999999999975</v>
      </c>
      <c r="J125" s="59"/>
      <c r="K125" s="4"/>
      <c r="L125" s="4"/>
      <c r="M125" s="4"/>
      <c r="N125" s="4"/>
      <c r="O125" s="4"/>
      <c r="P125" s="4"/>
      <c r="Q125" s="4"/>
      <c r="AK125" s="44">
        <f t="shared" si="3"/>
        <v>3.4</v>
      </c>
    </row>
    <row r="126" spans="2:37" ht="12.75" customHeight="1">
      <c r="B126" s="26">
        <f t="shared" si="4"/>
        <v>118</v>
      </c>
      <c r="C126" s="97" t="s">
        <v>420</v>
      </c>
      <c r="D126" s="39"/>
      <c r="E126" s="39">
        <f>TRUNC((5.42-0.5)/1+1.9)</f>
        <v>6</v>
      </c>
      <c r="F126" s="139">
        <v>5</v>
      </c>
      <c r="G126" s="122" t="s">
        <v>57</v>
      </c>
      <c r="H126" s="27">
        <f>(0.35*29)*2</f>
        <v>20.299999999999997</v>
      </c>
      <c r="I126" s="55">
        <f t="shared" si="5"/>
        <v>127.03739999999996</v>
      </c>
      <c r="J126" s="59"/>
      <c r="K126" s="4"/>
      <c r="L126" s="4"/>
      <c r="M126" s="4"/>
      <c r="N126" s="4"/>
      <c r="O126" s="4"/>
      <c r="P126" s="4"/>
      <c r="Q126" s="4"/>
      <c r="AK126" s="44">
        <f t="shared" si="3"/>
        <v>1.0429999999999999</v>
      </c>
    </row>
    <row r="127" spans="2:37" ht="12.75" customHeight="1">
      <c r="B127" s="26">
        <f t="shared" si="4"/>
        <v>119</v>
      </c>
      <c r="C127" s="87" t="s">
        <v>487</v>
      </c>
      <c r="D127" s="39"/>
      <c r="E127" s="39"/>
      <c r="F127" s="139"/>
      <c r="G127" s="122"/>
      <c r="H127" s="27"/>
      <c r="I127" s="55">
        <f t="shared" si="5"/>
        <v>0</v>
      </c>
      <c r="J127" s="59"/>
      <c r="K127" s="4"/>
      <c r="L127" s="4"/>
      <c r="M127" s="4"/>
      <c r="N127" s="4"/>
      <c r="O127" s="4"/>
      <c r="P127" s="4"/>
      <c r="Q127" s="4"/>
      <c r="AK127" s="44">
        <f t="shared" si="3"/>
        <v>0</v>
      </c>
    </row>
    <row r="128" spans="2:37" ht="12.75" customHeight="1">
      <c r="B128" s="26">
        <f t="shared" si="4"/>
        <v>120</v>
      </c>
      <c r="C128" s="97" t="s">
        <v>420</v>
      </c>
      <c r="D128" s="39"/>
      <c r="E128" s="39">
        <f>TRUNC((14.67-1)/1+1.9)</f>
        <v>15</v>
      </c>
      <c r="F128" s="139">
        <v>5</v>
      </c>
      <c r="G128" s="122" t="s">
        <v>65</v>
      </c>
      <c r="H128" s="27">
        <f>(0.25*20.17)+(1.083-0.083*2)</f>
        <v>5.9595000000000002</v>
      </c>
      <c r="I128" s="55">
        <f t="shared" si="5"/>
        <v>93.236377500000003</v>
      </c>
      <c r="J128" s="59"/>
      <c r="K128" s="4"/>
      <c r="M128" s="4"/>
      <c r="N128" s="4"/>
      <c r="O128" s="4"/>
      <c r="P128" s="4"/>
      <c r="Q128" s="4"/>
      <c r="AK128" s="44">
        <f t="shared" si="3"/>
        <v>1.0429999999999999</v>
      </c>
    </row>
    <row r="129" spans="2:37" ht="12.75" customHeight="1">
      <c r="B129" s="26">
        <f t="shared" si="4"/>
        <v>121</v>
      </c>
      <c r="C129" s="97" t="s">
        <v>430</v>
      </c>
      <c r="D129" s="39"/>
      <c r="E129" s="39">
        <f>TRUNC((14.67-1)/1+1.9)</f>
        <v>15</v>
      </c>
      <c r="F129" s="139">
        <v>8</v>
      </c>
      <c r="G129" s="122" t="s">
        <v>57</v>
      </c>
      <c r="H129" s="27">
        <f>(0.25*29.17)*2</f>
        <v>14.585000000000001</v>
      </c>
      <c r="I129" s="55">
        <f t="shared" si="5"/>
        <v>584.12924999999996</v>
      </c>
      <c r="J129" s="59"/>
      <c r="K129" s="4"/>
      <c r="L129" s="4"/>
      <c r="M129" s="4"/>
      <c r="N129" s="4"/>
      <c r="O129" s="4"/>
      <c r="P129" s="4"/>
      <c r="Q129" s="4"/>
      <c r="AK129" s="44">
        <f t="shared" si="3"/>
        <v>2.67</v>
      </c>
    </row>
    <row r="130" spans="2:37" ht="12.75" customHeight="1">
      <c r="B130" s="26">
        <f t="shared" si="4"/>
        <v>122</v>
      </c>
      <c r="C130" s="97" t="s">
        <v>431</v>
      </c>
      <c r="D130" s="39"/>
      <c r="E130" s="39">
        <f>TRUNC((14.67-1)/1+1.9)</f>
        <v>15</v>
      </c>
      <c r="F130" s="139">
        <v>6</v>
      </c>
      <c r="G130" s="122" t="s">
        <v>57</v>
      </c>
      <c r="H130" s="27">
        <f>(0.25*29.17)*2</f>
        <v>14.585000000000001</v>
      </c>
      <c r="I130" s="55">
        <f t="shared" si="5"/>
        <v>328.60005000000001</v>
      </c>
      <c r="J130" s="59"/>
      <c r="K130" s="4"/>
      <c r="L130" s="4"/>
      <c r="M130" s="4"/>
      <c r="N130" s="4"/>
      <c r="O130" s="4"/>
      <c r="P130" s="4"/>
      <c r="Q130" s="4"/>
      <c r="AK130" s="44">
        <f t="shared" si="3"/>
        <v>1.502</v>
      </c>
    </row>
    <row r="131" spans="2:37" ht="12.75" customHeight="1">
      <c r="B131" s="26">
        <f t="shared" si="4"/>
        <v>123</v>
      </c>
      <c r="C131" s="97" t="s">
        <v>431</v>
      </c>
      <c r="D131" s="39"/>
      <c r="E131" s="39">
        <f>TRUNC((14.67-1)/1+1.9)</f>
        <v>15</v>
      </c>
      <c r="F131" s="139">
        <v>6</v>
      </c>
      <c r="G131" s="122" t="s">
        <v>61</v>
      </c>
      <c r="H131" s="27">
        <v>40</v>
      </c>
      <c r="I131" s="55">
        <f t="shared" si="5"/>
        <v>901.19999999999993</v>
      </c>
      <c r="J131" s="59"/>
      <c r="L131" s="4"/>
      <c r="M131" s="4"/>
      <c r="N131" s="4"/>
      <c r="O131" s="4"/>
      <c r="P131" s="4"/>
      <c r="Q131" s="4"/>
      <c r="AK131" s="44">
        <f t="shared" si="3"/>
        <v>1.502</v>
      </c>
    </row>
    <row r="132" spans="2:37" ht="12.75" customHeight="1">
      <c r="B132" s="26">
        <f t="shared" si="4"/>
        <v>124</v>
      </c>
      <c r="C132" s="97" t="s">
        <v>420</v>
      </c>
      <c r="D132" s="39"/>
      <c r="E132" s="39">
        <f>TRUNC((13.5-1)/1+1.9)</f>
        <v>14</v>
      </c>
      <c r="F132" s="139">
        <v>5</v>
      </c>
      <c r="G132" s="122" t="s">
        <v>57</v>
      </c>
      <c r="H132" s="27">
        <f>31.5</f>
        <v>31.5</v>
      </c>
      <c r="I132" s="55">
        <f t="shared" si="5"/>
        <v>459.96299999999991</v>
      </c>
      <c r="J132" s="59"/>
      <c r="K132" s="4"/>
      <c r="L132" s="4"/>
      <c r="M132" s="4"/>
      <c r="N132" s="4"/>
      <c r="O132" s="4"/>
      <c r="P132" s="4"/>
      <c r="Q132" s="4"/>
      <c r="AK132" s="44">
        <f t="shared" si="3"/>
        <v>1.0429999999999999</v>
      </c>
    </row>
    <row r="133" spans="2:37" ht="12.75" customHeight="1">
      <c r="B133" s="26">
        <f t="shared" si="4"/>
        <v>125</v>
      </c>
      <c r="C133" s="97" t="s">
        <v>420</v>
      </c>
      <c r="D133" s="39"/>
      <c r="E133" s="39">
        <f>TRUNC((13.5-1)/1+1.9)</f>
        <v>14</v>
      </c>
      <c r="F133" s="139">
        <v>5</v>
      </c>
      <c r="G133" s="122" t="s">
        <v>57</v>
      </c>
      <c r="H133" s="27">
        <v>8.5</v>
      </c>
      <c r="I133" s="55">
        <f t="shared" si="5"/>
        <v>124.11699999999999</v>
      </c>
      <c r="J133" s="59"/>
      <c r="K133" s="4"/>
      <c r="L133" s="4"/>
      <c r="M133" s="4"/>
      <c r="N133" s="4"/>
      <c r="O133" s="4"/>
      <c r="P133" s="4"/>
      <c r="Q133" s="4"/>
      <c r="AK133" s="44">
        <f t="shared" si="3"/>
        <v>1.0429999999999999</v>
      </c>
    </row>
    <row r="134" spans="2:37" ht="12.75" customHeight="1">
      <c r="B134" s="26">
        <f t="shared" si="4"/>
        <v>126</v>
      </c>
      <c r="C134" s="87" t="s">
        <v>280</v>
      </c>
      <c r="D134" s="39"/>
      <c r="E134" s="39"/>
      <c r="F134" s="139"/>
      <c r="G134" s="122"/>
      <c r="H134" s="27"/>
      <c r="I134" s="55">
        <f t="shared" si="5"/>
        <v>0</v>
      </c>
      <c r="J134" s="59"/>
      <c r="L134" s="4"/>
      <c r="M134" s="4"/>
      <c r="N134" s="4"/>
      <c r="O134" s="4"/>
      <c r="P134" s="4"/>
      <c r="Q134" s="4"/>
      <c r="AK134" s="44">
        <f t="shared" si="3"/>
        <v>0</v>
      </c>
    </row>
    <row r="135" spans="2:37" ht="12.75" customHeight="1">
      <c r="B135" s="26">
        <f t="shared" si="4"/>
        <v>127</v>
      </c>
      <c r="C135" s="97" t="s">
        <v>420</v>
      </c>
      <c r="D135" s="39"/>
      <c r="E135" s="39">
        <f>TRUNC((11.25-1)/1+1.9)</f>
        <v>12</v>
      </c>
      <c r="F135" s="139">
        <v>5</v>
      </c>
      <c r="G135" s="122" t="s">
        <v>57</v>
      </c>
      <c r="H135" s="27">
        <v>29.83</v>
      </c>
      <c r="I135" s="55">
        <f t="shared" si="5"/>
        <v>373.35227999999995</v>
      </c>
      <c r="J135" s="59"/>
      <c r="K135" s="4"/>
      <c r="L135" s="4"/>
      <c r="M135" s="4"/>
      <c r="N135" s="4"/>
      <c r="O135" s="4"/>
      <c r="P135" s="4"/>
      <c r="Q135" s="4"/>
      <c r="AK135" s="44">
        <f t="shared" si="3"/>
        <v>1.0429999999999999</v>
      </c>
    </row>
    <row r="136" spans="2:37" ht="12.75" customHeight="1">
      <c r="B136" s="26">
        <f t="shared" si="4"/>
        <v>128</v>
      </c>
      <c r="C136" s="97" t="s">
        <v>427</v>
      </c>
      <c r="D136" s="39"/>
      <c r="E136" s="39">
        <f>TRUNC((11.25-0.83)/0.83+1.9)</f>
        <v>14</v>
      </c>
      <c r="F136" s="139">
        <v>8</v>
      </c>
      <c r="G136" s="122" t="s">
        <v>57</v>
      </c>
      <c r="H136" s="27">
        <f>(0.35*29.83)*2</f>
        <v>20.880999999999997</v>
      </c>
      <c r="I136" s="55">
        <f t="shared" si="5"/>
        <v>780.5317799999998</v>
      </c>
      <c r="J136" s="59"/>
      <c r="K136" s="4"/>
      <c r="L136" s="4"/>
      <c r="M136" s="4"/>
      <c r="N136" s="4"/>
      <c r="O136" s="4"/>
      <c r="P136" s="4"/>
      <c r="Q136" s="4"/>
      <c r="AK136" s="44">
        <f t="shared" si="3"/>
        <v>2.67</v>
      </c>
    </row>
    <row r="137" spans="2:37" ht="12.75" customHeight="1">
      <c r="B137" s="26">
        <f t="shared" si="4"/>
        <v>129</v>
      </c>
      <c r="C137" s="97" t="s">
        <v>436</v>
      </c>
      <c r="D137" s="39"/>
      <c r="E137" s="39">
        <f>TRUNC((11.25-0.83)/0.83+1.9)</f>
        <v>14</v>
      </c>
      <c r="F137" s="139">
        <v>9</v>
      </c>
      <c r="G137" s="122" t="s">
        <v>61</v>
      </c>
      <c r="H137" s="27">
        <f>40</f>
        <v>40</v>
      </c>
      <c r="I137" s="55">
        <f t="shared" si="5"/>
        <v>1904</v>
      </c>
      <c r="J137" s="59"/>
      <c r="K137" s="4"/>
      <c r="L137" s="4"/>
      <c r="M137" s="4"/>
      <c r="N137" s="4"/>
      <c r="O137" s="4"/>
      <c r="P137" s="4"/>
      <c r="Q137" s="4"/>
      <c r="AK137" s="44">
        <f t="shared" ref="AK137:AK200" si="6">IF(F137="",0,VLOOKUP(F137,$CI$16:$CJ$408,2,FALSE))</f>
        <v>3.4</v>
      </c>
    </row>
    <row r="138" spans="2:37" ht="12.75" customHeight="1">
      <c r="B138" s="26">
        <f t="shared" ref="B138:B201" si="7">IF(B137="SL.NO",1,B137+1)</f>
        <v>130</v>
      </c>
      <c r="C138" s="97" t="s">
        <v>436</v>
      </c>
      <c r="D138" s="39"/>
      <c r="E138" s="39">
        <f>TRUNC((11.25-0.83)/0.83+1.9)</f>
        <v>14</v>
      </c>
      <c r="F138" s="139">
        <v>9</v>
      </c>
      <c r="G138" s="122" t="s">
        <v>57</v>
      </c>
      <c r="H138" s="27">
        <f>(42.58-40)+3.5</f>
        <v>6.0799999999999983</v>
      </c>
      <c r="I138" s="55">
        <f t="shared" si="5"/>
        <v>289.4079999999999</v>
      </c>
      <c r="J138" s="59"/>
      <c r="K138" s="4"/>
      <c r="L138" s="4"/>
      <c r="M138" s="4"/>
      <c r="N138" s="4"/>
      <c r="O138" s="4"/>
      <c r="P138" s="4"/>
      <c r="Q138" s="4"/>
      <c r="AK138" s="44">
        <f t="shared" si="6"/>
        <v>3.4</v>
      </c>
    </row>
    <row r="139" spans="2:37" ht="12.75" customHeight="1">
      <c r="B139" s="26">
        <f t="shared" si="7"/>
        <v>131</v>
      </c>
      <c r="C139" s="97" t="s">
        <v>420</v>
      </c>
      <c r="D139" s="39"/>
      <c r="E139" s="39">
        <f>TRUNC((11.25-1)/1+1.9)</f>
        <v>12</v>
      </c>
      <c r="F139" s="139">
        <v>5</v>
      </c>
      <c r="G139" s="122" t="s">
        <v>57</v>
      </c>
      <c r="H139" s="27">
        <f>35.17</f>
        <v>35.17</v>
      </c>
      <c r="I139" s="55">
        <f t="shared" si="5"/>
        <v>440.18772000000001</v>
      </c>
      <c r="J139" s="59"/>
      <c r="K139" s="4"/>
      <c r="L139" s="4"/>
      <c r="M139" s="4"/>
      <c r="N139" s="4"/>
      <c r="O139" s="4"/>
      <c r="P139" s="4"/>
      <c r="Q139" s="4"/>
      <c r="AK139" s="44">
        <f t="shared" si="6"/>
        <v>1.0429999999999999</v>
      </c>
    </row>
    <row r="140" spans="2:37" ht="12.75" customHeight="1">
      <c r="B140" s="26">
        <f t="shared" si="7"/>
        <v>132</v>
      </c>
      <c r="C140" s="97" t="s">
        <v>435</v>
      </c>
      <c r="D140" s="39"/>
      <c r="E140" s="39">
        <f>TRUNC((4.67-0.083-0.25)/0.5+1.9)</f>
        <v>10</v>
      </c>
      <c r="F140" s="139">
        <v>9</v>
      </c>
      <c r="G140" s="122" t="s">
        <v>57</v>
      </c>
      <c r="H140" s="27">
        <v>19.829999999999998</v>
      </c>
      <c r="I140" s="55">
        <f t="shared" si="5"/>
        <v>674.22</v>
      </c>
      <c r="J140" s="59"/>
      <c r="K140" s="4"/>
      <c r="L140" s="4"/>
      <c r="M140" s="4"/>
      <c r="N140" s="4"/>
      <c r="O140" s="4"/>
      <c r="P140" s="4"/>
      <c r="Q140" s="4"/>
      <c r="AK140" s="44">
        <f t="shared" si="6"/>
        <v>3.4</v>
      </c>
    </row>
    <row r="141" spans="2:37" ht="12.75" customHeight="1">
      <c r="B141" s="26">
        <f t="shared" si="7"/>
        <v>133</v>
      </c>
      <c r="C141" s="97" t="s">
        <v>431</v>
      </c>
      <c r="D141" s="39"/>
      <c r="E141" s="39">
        <f>TRUNC((5-0.083-0.5)/1+1.9)</f>
        <v>6</v>
      </c>
      <c r="F141" s="139">
        <v>6</v>
      </c>
      <c r="G141" s="122" t="s">
        <v>57</v>
      </c>
      <c r="H141" s="27">
        <f>11.83</f>
        <v>11.83</v>
      </c>
      <c r="I141" s="55">
        <f t="shared" si="5"/>
        <v>106.61196000000001</v>
      </c>
      <c r="J141" s="59"/>
      <c r="K141" s="4"/>
      <c r="L141" s="4"/>
      <c r="M141" s="4"/>
      <c r="N141" s="4"/>
      <c r="O141" s="4"/>
      <c r="P141" s="4"/>
      <c r="Q141" s="4"/>
      <c r="AK141" s="44">
        <f t="shared" si="6"/>
        <v>1.502</v>
      </c>
    </row>
    <row r="142" spans="2:37" ht="12.75" customHeight="1">
      <c r="B142" s="26">
        <f t="shared" si="7"/>
        <v>134</v>
      </c>
      <c r="C142" s="97" t="s">
        <v>431</v>
      </c>
      <c r="D142" s="39"/>
      <c r="E142" s="39">
        <f>TRUNC((5-0.083-0.5)/1+1.9)</f>
        <v>6</v>
      </c>
      <c r="F142" s="139">
        <v>6</v>
      </c>
      <c r="G142" s="122" t="s">
        <v>57</v>
      </c>
      <c r="H142" s="27">
        <v>8</v>
      </c>
      <c r="I142" s="55">
        <f t="shared" si="5"/>
        <v>72.096000000000004</v>
      </c>
      <c r="J142" s="59"/>
      <c r="K142" s="4"/>
      <c r="M142" s="4"/>
      <c r="N142" s="4"/>
      <c r="O142" s="4"/>
      <c r="P142" s="4"/>
      <c r="Q142" s="4"/>
      <c r="AK142" s="44">
        <f t="shared" si="6"/>
        <v>1.502</v>
      </c>
    </row>
    <row r="143" spans="2:37" ht="12.75" customHeight="1">
      <c r="B143" s="26">
        <f t="shared" si="7"/>
        <v>135</v>
      </c>
      <c r="C143" s="87" t="s">
        <v>487</v>
      </c>
      <c r="D143" s="39"/>
      <c r="E143" s="39"/>
      <c r="F143" s="139"/>
      <c r="G143" s="122"/>
      <c r="H143" s="27"/>
      <c r="I143" s="55">
        <f t="shared" si="5"/>
        <v>0</v>
      </c>
      <c r="J143" s="59"/>
      <c r="K143" s="4"/>
      <c r="L143" s="4"/>
      <c r="M143" s="4"/>
      <c r="N143" s="4"/>
      <c r="O143" s="4"/>
      <c r="P143" s="4"/>
      <c r="Q143" s="4"/>
      <c r="AK143" s="44">
        <f t="shared" si="6"/>
        <v>0</v>
      </c>
    </row>
    <row r="144" spans="2:37" ht="12.75" customHeight="1">
      <c r="B144" s="26">
        <f t="shared" si="7"/>
        <v>136</v>
      </c>
      <c r="C144" s="97" t="s">
        <v>420</v>
      </c>
      <c r="D144" s="39"/>
      <c r="E144" s="39">
        <f>TRUNC((4.5-1)/1+1.9)</f>
        <v>5</v>
      </c>
      <c r="F144" s="139">
        <v>5</v>
      </c>
      <c r="G144" s="122" t="s">
        <v>57</v>
      </c>
      <c r="H144" s="27">
        <f>29.83-5</f>
        <v>24.83</v>
      </c>
      <c r="I144" s="55">
        <f t="shared" si="5"/>
        <v>129.48845</v>
      </c>
      <c r="J144" s="59"/>
      <c r="K144" s="4"/>
      <c r="L144" s="4"/>
      <c r="M144" s="4"/>
      <c r="N144" s="4"/>
      <c r="O144" s="4"/>
      <c r="P144" s="4"/>
      <c r="Q144" s="4"/>
      <c r="AK144" s="44">
        <f t="shared" si="6"/>
        <v>1.0429999999999999</v>
      </c>
    </row>
    <row r="145" spans="2:37" ht="12.75" customHeight="1">
      <c r="B145" s="26">
        <f t="shared" si="7"/>
        <v>137</v>
      </c>
      <c r="C145" s="97" t="s">
        <v>420</v>
      </c>
      <c r="D145" s="39"/>
      <c r="E145" s="39">
        <f>TRUNC((3.5-1)/1+1.9)</f>
        <v>4</v>
      </c>
      <c r="F145" s="139">
        <v>5</v>
      </c>
      <c r="G145" s="122" t="s">
        <v>57</v>
      </c>
      <c r="H145" s="27">
        <v>5</v>
      </c>
      <c r="I145" s="55">
        <f t="shared" si="5"/>
        <v>20.86</v>
      </c>
      <c r="J145" s="59"/>
      <c r="L145" s="4"/>
      <c r="M145" s="4"/>
      <c r="N145" s="4"/>
      <c r="O145" s="4"/>
      <c r="P145" s="4"/>
      <c r="Q145" s="4"/>
      <c r="AK145" s="44">
        <f t="shared" si="6"/>
        <v>1.0429999999999999</v>
      </c>
    </row>
    <row r="146" spans="2:37" ht="12.75" customHeight="1">
      <c r="B146" s="26">
        <f t="shared" si="7"/>
        <v>138</v>
      </c>
      <c r="C146" s="97" t="s">
        <v>430</v>
      </c>
      <c r="D146" s="39"/>
      <c r="E146" s="39">
        <f>TRUNC((3.5-1)/1+1.9)</f>
        <v>4</v>
      </c>
      <c r="F146" s="139">
        <v>8</v>
      </c>
      <c r="G146" s="122" t="s">
        <v>65</v>
      </c>
      <c r="H146" s="27">
        <f>5+(1.083-0.083*2)</f>
        <v>5.9169999999999998</v>
      </c>
      <c r="I146" s="55">
        <f t="shared" si="5"/>
        <v>63.193559999999998</v>
      </c>
      <c r="J146" s="59"/>
      <c r="K146" s="4"/>
      <c r="L146" s="4"/>
      <c r="M146" s="4"/>
      <c r="N146" s="4"/>
      <c r="O146" s="4"/>
      <c r="P146" s="4"/>
      <c r="Q146" s="4"/>
      <c r="AK146" s="44">
        <f t="shared" si="6"/>
        <v>2.67</v>
      </c>
    </row>
    <row r="147" spans="2:37" ht="12.75" customHeight="1">
      <c r="B147" s="26">
        <f t="shared" si="7"/>
        <v>139</v>
      </c>
      <c r="C147" s="97" t="s">
        <v>420</v>
      </c>
      <c r="D147" s="39"/>
      <c r="E147" s="39">
        <f>TRUNC((8-1)/1+1.9)</f>
        <v>8</v>
      </c>
      <c r="F147" s="139">
        <v>5</v>
      </c>
      <c r="G147" s="122" t="s">
        <v>57</v>
      </c>
      <c r="H147" s="27">
        <f>(0.25*29.67)*2</f>
        <v>14.835000000000001</v>
      </c>
      <c r="I147" s="55">
        <f t="shared" si="5"/>
        <v>123.78323999999999</v>
      </c>
      <c r="J147" s="59"/>
      <c r="K147" s="4"/>
      <c r="L147" s="4"/>
      <c r="M147" s="4"/>
      <c r="N147" s="4"/>
      <c r="O147" s="4"/>
      <c r="P147" s="4"/>
      <c r="Q147" s="4"/>
      <c r="AK147" s="44">
        <f t="shared" si="6"/>
        <v>1.0429999999999999</v>
      </c>
    </row>
    <row r="148" spans="2:37" ht="12.75" customHeight="1">
      <c r="B148" s="26">
        <f t="shared" si="7"/>
        <v>140</v>
      </c>
      <c r="C148" s="97" t="s">
        <v>420</v>
      </c>
      <c r="D148" s="39"/>
      <c r="E148" s="39">
        <f>TRUNC((8-1)/1+1.9)</f>
        <v>8</v>
      </c>
      <c r="F148" s="139">
        <v>5</v>
      </c>
      <c r="G148" s="122" t="s">
        <v>57</v>
      </c>
      <c r="H148" s="27">
        <f>(0.25*28.5)*2</f>
        <v>14.25</v>
      </c>
      <c r="I148" s="55">
        <f t="shared" si="5"/>
        <v>118.90199999999999</v>
      </c>
      <c r="J148" s="59"/>
      <c r="L148" s="4"/>
      <c r="M148" s="4"/>
      <c r="N148" s="4"/>
      <c r="O148" s="4"/>
      <c r="P148" s="4"/>
      <c r="Q148" s="4"/>
      <c r="AK148" s="44">
        <f t="shared" si="6"/>
        <v>1.0429999999999999</v>
      </c>
    </row>
    <row r="149" spans="2:37" ht="12.75" customHeight="1">
      <c r="B149" s="26">
        <f t="shared" si="7"/>
        <v>141</v>
      </c>
      <c r="C149" s="97" t="s">
        <v>418</v>
      </c>
      <c r="D149" s="39"/>
      <c r="E149" s="39">
        <f>TRUNC((8.67-0.83)/0.83+1.9)</f>
        <v>11</v>
      </c>
      <c r="F149" s="139">
        <v>6</v>
      </c>
      <c r="G149" s="122" t="s">
        <v>57</v>
      </c>
      <c r="H149" s="27">
        <f>(0.25*32.67)</f>
        <v>8.1675000000000004</v>
      </c>
      <c r="I149" s="55">
        <f t="shared" si="5"/>
        <v>134.94343499999999</v>
      </c>
      <c r="J149" s="59"/>
      <c r="K149" s="4"/>
      <c r="L149" s="4"/>
      <c r="M149" s="4"/>
      <c r="N149" s="4"/>
      <c r="O149" s="4"/>
      <c r="P149" s="4"/>
      <c r="Q149" s="4"/>
      <c r="AK149" s="44">
        <f t="shared" si="6"/>
        <v>1.502</v>
      </c>
    </row>
    <row r="150" spans="2:37" ht="12.75" customHeight="1">
      <c r="B150" s="26">
        <f t="shared" si="7"/>
        <v>142</v>
      </c>
      <c r="C150" s="97" t="s">
        <v>420</v>
      </c>
      <c r="D150" s="39"/>
      <c r="E150" s="39">
        <f>TRUNC((6.5-0.83)/0.83+1.9)</f>
        <v>8</v>
      </c>
      <c r="F150" s="139">
        <v>5</v>
      </c>
      <c r="G150" s="122" t="s">
        <v>57</v>
      </c>
      <c r="H150" s="27">
        <v>7</v>
      </c>
      <c r="I150" s="55">
        <f t="shared" si="5"/>
        <v>58.407999999999994</v>
      </c>
      <c r="J150" s="59"/>
      <c r="K150" s="4"/>
      <c r="L150" s="4"/>
      <c r="M150" s="4"/>
      <c r="N150" s="4"/>
      <c r="O150" s="4"/>
      <c r="P150" s="4"/>
      <c r="Q150" s="4"/>
      <c r="AK150" s="44">
        <f t="shared" si="6"/>
        <v>1.0429999999999999</v>
      </c>
    </row>
    <row r="151" spans="2:37" ht="12.75" customHeight="1">
      <c r="B151" s="26">
        <f t="shared" si="7"/>
        <v>143</v>
      </c>
      <c r="C151" s="97" t="s">
        <v>420</v>
      </c>
      <c r="D151" s="39"/>
      <c r="E151" s="39">
        <f>TRUNC((4-1)/1+1.9)</f>
        <v>4</v>
      </c>
      <c r="F151" s="139">
        <v>5</v>
      </c>
      <c r="G151" s="122" t="s">
        <v>57</v>
      </c>
      <c r="H151" s="27">
        <v>34</v>
      </c>
      <c r="I151" s="55">
        <f t="shared" si="5"/>
        <v>141.84799999999998</v>
      </c>
      <c r="J151" s="59"/>
      <c r="K151" s="4"/>
      <c r="L151" s="4"/>
      <c r="M151" s="4"/>
      <c r="N151" s="4"/>
      <c r="O151" s="4"/>
      <c r="P151" s="4"/>
      <c r="Q151" s="4"/>
      <c r="AK151" s="44">
        <f t="shared" si="6"/>
        <v>1.0429999999999999</v>
      </c>
    </row>
    <row r="152" spans="2:37" ht="12.75" customHeight="1">
      <c r="B152" s="26">
        <f t="shared" si="7"/>
        <v>144</v>
      </c>
      <c r="C152" s="97" t="s">
        <v>430</v>
      </c>
      <c r="D152" s="39"/>
      <c r="E152" s="39">
        <f>TRUNC((5.5-0.83)/0.83+1.9)</f>
        <v>7</v>
      </c>
      <c r="F152" s="139">
        <v>8</v>
      </c>
      <c r="G152" s="122" t="s">
        <v>57</v>
      </c>
      <c r="H152" s="27">
        <v>16.829999999999998</v>
      </c>
      <c r="I152" s="55">
        <f t="shared" si="5"/>
        <v>314.55269999999996</v>
      </c>
      <c r="J152" s="59"/>
      <c r="K152" s="4"/>
      <c r="L152" s="4"/>
      <c r="M152" s="4"/>
      <c r="N152" s="4"/>
      <c r="O152" s="4"/>
      <c r="P152" s="4"/>
      <c r="Q152" s="4"/>
      <c r="AK152" s="44">
        <f t="shared" si="6"/>
        <v>2.67</v>
      </c>
    </row>
    <row r="153" spans="2:37" ht="12.75" customHeight="1">
      <c r="B153" s="26">
        <f t="shared" si="7"/>
        <v>145</v>
      </c>
      <c r="C153" s="97" t="s">
        <v>431</v>
      </c>
      <c r="D153" s="39"/>
      <c r="E153" s="39">
        <f>TRUNC((11.25-1)/1+1.9)</f>
        <v>12</v>
      </c>
      <c r="F153" s="139">
        <v>6</v>
      </c>
      <c r="G153" s="122" t="s">
        <v>57</v>
      </c>
      <c r="H153" s="27">
        <v>11.83</v>
      </c>
      <c r="I153" s="55">
        <f t="shared" si="5"/>
        <v>213.22392000000002</v>
      </c>
      <c r="J153" s="59"/>
      <c r="K153" s="4"/>
      <c r="L153" s="4"/>
      <c r="M153" s="4"/>
      <c r="N153" s="4"/>
      <c r="O153" s="4"/>
      <c r="P153" s="4"/>
      <c r="Q153" s="4"/>
      <c r="AK153" s="44">
        <f t="shared" si="6"/>
        <v>1.502</v>
      </c>
    </row>
    <row r="154" spans="2:37" ht="12.75" customHeight="1">
      <c r="B154" s="26">
        <f t="shared" si="7"/>
        <v>146</v>
      </c>
      <c r="C154" s="97" t="s">
        <v>431</v>
      </c>
      <c r="D154" s="39"/>
      <c r="E154" s="39">
        <f>TRUNC((11.25-1)/1+1.9)</f>
        <v>12</v>
      </c>
      <c r="F154" s="139">
        <v>6</v>
      </c>
      <c r="G154" s="122" t="s">
        <v>57</v>
      </c>
      <c r="H154" s="27">
        <v>8</v>
      </c>
      <c r="I154" s="55">
        <f t="shared" si="5"/>
        <v>144.19200000000001</v>
      </c>
      <c r="J154" s="59"/>
      <c r="K154" s="4"/>
      <c r="L154" s="4"/>
      <c r="M154" s="4"/>
      <c r="N154" s="4"/>
      <c r="O154" s="4"/>
      <c r="P154" s="4"/>
      <c r="Q154" s="4"/>
      <c r="AK154" s="44">
        <f t="shared" si="6"/>
        <v>1.502</v>
      </c>
    </row>
    <row r="155" spans="2:37" ht="12.75" customHeight="1">
      <c r="B155" s="26">
        <f t="shared" si="7"/>
        <v>147</v>
      </c>
      <c r="C155" s="87" t="s">
        <v>280</v>
      </c>
      <c r="D155" s="39"/>
      <c r="E155" s="39"/>
      <c r="F155" s="139"/>
      <c r="G155" s="122"/>
      <c r="H155" s="27"/>
      <c r="I155" s="55">
        <f t="shared" si="5"/>
        <v>0</v>
      </c>
      <c r="J155" s="59"/>
      <c r="K155" s="4"/>
      <c r="L155" s="4"/>
      <c r="M155" s="4"/>
      <c r="N155" s="4"/>
      <c r="O155" s="4"/>
      <c r="P155" s="4"/>
      <c r="Q155" s="4"/>
      <c r="AK155" s="44">
        <f t="shared" si="6"/>
        <v>0</v>
      </c>
    </row>
    <row r="156" spans="2:37" ht="12.75" customHeight="1">
      <c r="B156" s="26">
        <f t="shared" si="7"/>
        <v>148</v>
      </c>
      <c r="C156" s="97" t="s">
        <v>420</v>
      </c>
      <c r="D156" s="39"/>
      <c r="E156" s="39">
        <f>TRUNC((4-1)/1+1.9)</f>
        <v>4</v>
      </c>
      <c r="F156" s="139">
        <v>5</v>
      </c>
      <c r="G156" s="122" t="s">
        <v>57</v>
      </c>
      <c r="H156" s="27">
        <f>(0.35*20)</f>
        <v>7</v>
      </c>
      <c r="I156" s="55">
        <f t="shared" si="5"/>
        <v>29.203999999999997</v>
      </c>
      <c r="J156" s="59"/>
      <c r="K156" s="4"/>
      <c r="M156" s="4"/>
      <c r="N156" s="4"/>
      <c r="O156" s="4"/>
      <c r="P156" s="4"/>
      <c r="Q156" s="4"/>
      <c r="AK156" s="44">
        <f t="shared" si="6"/>
        <v>1.0429999999999999</v>
      </c>
    </row>
    <row r="157" spans="2:37" ht="12.75" customHeight="1">
      <c r="B157" s="26">
        <f t="shared" si="7"/>
        <v>149</v>
      </c>
      <c r="C157" s="97" t="s">
        <v>431</v>
      </c>
      <c r="D157" s="39"/>
      <c r="E157" s="39">
        <f>TRUNC((5.33-1)/1+1.9)</f>
        <v>6</v>
      </c>
      <c r="F157" s="139">
        <v>6</v>
      </c>
      <c r="G157" s="122" t="s">
        <v>57</v>
      </c>
      <c r="H157" s="27">
        <f>(0.35*20)</f>
        <v>7</v>
      </c>
      <c r="I157" s="55">
        <f t="shared" si="5"/>
        <v>63.083999999999996</v>
      </c>
      <c r="J157" s="59"/>
      <c r="K157" s="4"/>
      <c r="L157" s="4"/>
      <c r="M157" s="4"/>
      <c r="N157" s="4"/>
      <c r="O157" s="4"/>
      <c r="P157" s="4"/>
      <c r="Q157" s="4"/>
      <c r="AK157" s="44">
        <f t="shared" si="6"/>
        <v>1.502</v>
      </c>
    </row>
    <row r="158" spans="2:37" ht="12.75" customHeight="1">
      <c r="B158" s="26">
        <f t="shared" si="7"/>
        <v>150</v>
      </c>
      <c r="C158" s="97" t="s">
        <v>435</v>
      </c>
      <c r="D158" s="39"/>
      <c r="E158" s="39">
        <f>TRUNC((9.25-0.5)/0.5+1.9)</f>
        <v>19</v>
      </c>
      <c r="F158" s="139">
        <v>9</v>
      </c>
      <c r="G158" s="122" t="s">
        <v>57</v>
      </c>
      <c r="H158" s="27">
        <f>(0.35*29.75)*2</f>
        <v>20.824999999999999</v>
      </c>
      <c r="I158" s="55">
        <f t="shared" si="5"/>
        <v>1345.2949999999998</v>
      </c>
      <c r="J158" s="59"/>
      <c r="K158" s="4"/>
      <c r="L158" s="4"/>
      <c r="M158" s="4"/>
      <c r="N158" s="4"/>
      <c r="O158" s="4"/>
      <c r="P158" s="4"/>
      <c r="Q158" s="4"/>
      <c r="AK158" s="44">
        <f t="shared" si="6"/>
        <v>3.4</v>
      </c>
    </row>
    <row r="159" spans="2:37" ht="12.75" customHeight="1">
      <c r="B159" s="26">
        <f t="shared" si="7"/>
        <v>151</v>
      </c>
      <c r="C159" s="97" t="s">
        <v>427</v>
      </c>
      <c r="D159" s="39"/>
      <c r="E159" s="39">
        <f>TRUNC((9.25-0.83)/0.83+1.9)</f>
        <v>12</v>
      </c>
      <c r="F159" s="139">
        <v>8</v>
      </c>
      <c r="G159" s="122" t="s">
        <v>57</v>
      </c>
      <c r="H159" s="27">
        <f>(0.35*29.75)*2</f>
        <v>20.824999999999999</v>
      </c>
      <c r="I159" s="55">
        <f t="shared" si="5"/>
        <v>667.23299999999995</v>
      </c>
      <c r="J159" s="59"/>
      <c r="L159" s="4"/>
      <c r="M159" s="4"/>
      <c r="N159" s="4"/>
      <c r="O159" s="4"/>
      <c r="P159" s="4"/>
      <c r="Q159" s="4"/>
      <c r="AK159" s="44">
        <f t="shared" si="6"/>
        <v>2.67</v>
      </c>
    </row>
    <row r="160" spans="2:37" ht="12.75" customHeight="1">
      <c r="B160" s="26">
        <f t="shared" si="7"/>
        <v>152</v>
      </c>
      <c r="C160" s="97" t="s">
        <v>496</v>
      </c>
      <c r="D160" s="39"/>
      <c r="E160" s="39">
        <f>TRUNC((9.25-0.83)/0.83+1.9)</f>
        <v>12</v>
      </c>
      <c r="F160" s="139">
        <v>5</v>
      </c>
      <c r="G160" s="122" t="s">
        <v>57</v>
      </c>
      <c r="H160" s="27">
        <f>(0.35*24.25)*2</f>
        <v>16.974999999999998</v>
      </c>
      <c r="I160" s="55">
        <f t="shared" si="5"/>
        <v>212.45909999999995</v>
      </c>
      <c r="J160" s="59"/>
      <c r="K160" s="4"/>
      <c r="L160" s="4"/>
      <c r="M160" s="4"/>
      <c r="N160" s="4"/>
      <c r="O160" s="4"/>
      <c r="P160" s="4"/>
      <c r="Q160" s="4"/>
      <c r="AK160" s="44">
        <f t="shared" si="6"/>
        <v>1.0429999999999999</v>
      </c>
    </row>
    <row r="161" spans="2:37" ht="12.75" customHeight="1">
      <c r="B161" s="26">
        <f t="shared" si="7"/>
        <v>153</v>
      </c>
      <c r="C161" s="97" t="s">
        <v>436</v>
      </c>
      <c r="D161" s="39"/>
      <c r="E161" s="39">
        <f>TRUNC((9.25-0.83)/0.83+1.9)</f>
        <v>12</v>
      </c>
      <c r="F161" s="139">
        <v>9</v>
      </c>
      <c r="G161" s="122" t="s">
        <v>57</v>
      </c>
      <c r="H161" s="27">
        <f>(0.35*30)*2</f>
        <v>21</v>
      </c>
      <c r="I161" s="55">
        <f t="shared" si="5"/>
        <v>856.8</v>
      </c>
      <c r="J161" s="59"/>
      <c r="K161" s="4"/>
      <c r="L161" s="4"/>
      <c r="M161" s="4"/>
      <c r="N161" s="4"/>
      <c r="O161" s="4"/>
      <c r="P161" s="4"/>
      <c r="Q161" s="4"/>
      <c r="AK161" s="44">
        <f t="shared" si="6"/>
        <v>3.4</v>
      </c>
    </row>
    <row r="162" spans="2:37" ht="12.75" customHeight="1">
      <c r="B162" s="26">
        <f t="shared" si="7"/>
        <v>154</v>
      </c>
      <c r="C162" s="97" t="s">
        <v>431</v>
      </c>
      <c r="D162" s="39"/>
      <c r="E162" s="39">
        <f>TRUNC((9.25-1)/1+1.9)</f>
        <v>10</v>
      </c>
      <c r="F162" s="139">
        <v>6</v>
      </c>
      <c r="G162" s="122" t="s">
        <v>57</v>
      </c>
      <c r="H162" s="27">
        <v>10.83</v>
      </c>
      <c r="I162" s="55">
        <f t="shared" si="5"/>
        <v>162.66660000000002</v>
      </c>
      <c r="J162" s="59"/>
      <c r="K162" s="4"/>
      <c r="L162" s="4"/>
      <c r="M162" s="4"/>
      <c r="N162" s="4"/>
      <c r="O162" s="4"/>
      <c r="P162" s="4"/>
      <c r="Q162" s="4"/>
      <c r="AK162" s="44">
        <f t="shared" si="6"/>
        <v>1.502</v>
      </c>
    </row>
    <row r="163" spans="2:37" ht="12.75" customHeight="1">
      <c r="B163" s="26">
        <f t="shared" si="7"/>
        <v>155</v>
      </c>
      <c r="C163" s="97" t="s">
        <v>420</v>
      </c>
      <c r="D163" s="39"/>
      <c r="E163" s="39">
        <f>TRUNC((9.25-1)/1+1.9)</f>
        <v>10</v>
      </c>
      <c r="F163" s="139">
        <v>5</v>
      </c>
      <c r="G163" s="122" t="s">
        <v>57</v>
      </c>
      <c r="H163" s="27">
        <v>31.58</v>
      </c>
      <c r="I163" s="55">
        <f t="shared" si="5"/>
        <v>329.37939999999998</v>
      </c>
      <c r="J163" s="59"/>
      <c r="L163" s="4"/>
      <c r="M163" s="4"/>
      <c r="N163" s="4"/>
      <c r="O163" s="4"/>
      <c r="P163" s="4"/>
      <c r="Q163" s="4"/>
      <c r="AK163" s="44">
        <f t="shared" si="6"/>
        <v>1.0429999999999999</v>
      </c>
    </row>
    <row r="164" spans="2:37" ht="12.75" customHeight="1">
      <c r="B164" s="26">
        <f t="shared" si="7"/>
        <v>156</v>
      </c>
      <c r="C164" s="97" t="s">
        <v>431</v>
      </c>
      <c r="D164" s="39"/>
      <c r="E164" s="39">
        <f>TRUNC((9.25-1)/1+1.9)</f>
        <v>10</v>
      </c>
      <c r="F164" s="139">
        <v>6</v>
      </c>
      <c r="G164" s="122" t="s">
        <v>57</v>
      </c>
      <c r="H164" s="27">
        <f>11.83</f>
        <v>11.83</v>
      </c>
      <c r="I164" s="55">
        <f t="shared" si="5"/>
        <v>177.6866</v>
      </c>
      <c r="J164" s="59"/>
      <c r="K164" s="4"/>
      <c r="L164" s="4"/>
      <c r="M164" s="4"/>
      <c r="N164" s="4"/>
      <c r="O164" s="4"/>
      <c r="P164" s="4"/>
      <c r="Q164" s="4"/>
      <c r="AK164" s="44">
        <f t="shared" si="6"/>
        <v>1.502</v>
      </c>
    </row>
    <row r="165" spans="2:37" ht="12.75" customHeight="1">
      <c r="B165" s="26">
        <f t="shared" si="7"/>
        <v>157</v>
      </c>
      <c r="C165" s="97" t="s">
        <v>431</v>
      </c>
      <c r="D165" s="39"/>
      <c r="E165" s="39">
        <f>TRUNC((9.25-1)/1+1.9)</f>
        <v>10</v>
      </c>
      <c r="F165" s="139">
        <v>6</v>
      </c>
      <c r="G165" s="122" t="s">
        <v>57</v>
      </c>
      <c r="H165" s="27">
        <v>8</v>
      </c>
      <c r="I165" s="55">
        <f t="shared" si="5"/>
        <v>120.16</v>
      </c>
      <c r="J165" s="59"/>
      <c r="K165" s="4"/>
      <c r="L165" s="4"/>
      <c r="M165" s="4"/>
      <c r="N165" s="4"/>
      <c r="O165" s="4"/>
      <c r="P165" s="4"/>
      <c r="Q165" s="4"/>
      <c r="AK165" s="44">
        <f t="shared" si="6"/>
        <v>1.502</v>
      </c>
    </row>
    <row r="166" spans="2:37" ht="12.75" customHeight="1">
      <c r="B166" s="26">
        <f t="shared" si="7"/>
        <v>158</v>
      </c>
      <c r="C166" s="87" t="s">
        <v>487</v>
      </c>
      <c r="D166" s="39"/>
      <c r="E166" s="39"/>
      <c r="F166" s="139"/>
      <c r="G166" s="122"/>
      <c r="H166" s="27"/>
      <c r="I166" s="55">
        <f t="shared" si="5"/>
        <v>0</v>
      </c>
      <c r="J166" s="59"/>
      <c r="L166" s="4"/>
      <c r="M166" s="4"/>
      <c r="N166" s="4"/>
      <c r="O166" s="4"/>
      <c r="P166" s="4"/>
      <c r="Q166" s="4"/>
      <c r="AK166" s="44">
        <f t="shared" si="6"/>
        <v>0</v>
      </c>
    </row>
    <row r="167" spans="2:37" ht="12.75" customHeight="1">
      <c r="B167" s="26">
        <f t="shared" si="7"/>
        <v>159</v>
      </c>
      <c r="C167" s="97" t="s">
        <v>431</v>
      </c>
      <c r="D167" s="39"/>
      <c r="E167" s="39">
        <f>TRUNC((10.58-1)/1+1.9)</f>
        <v>11</v>
      </c>
      <c r="F167" s="139">
        <v>6</v>
      </c>
      <c r="G167" s="122" t="s">
        <v>57</v>
      </c>
      <c r="H167" s="27">
        <f>(0.25*19.5)</f>
        <v>4.875</v>
      </c>
      <c r="I167" s="55">
        <f t="shared" si="5"/>
        <v>80.544750000000008</v>
      </c>
      <c r="J167" s="59"/>
      <c r="K167" s="4"/>
      <c r="L167" s="4"/>
      <c r="M167" s="4"/>
      <c r="N167" s="4"/>
      <c r="O167" s="4"/>
      <c r="P167" s="4"/>
      <c r="Q167" s="4"/>
      <c r="AK167" s="44">
        <f t="shared" si="6"/>
        <v>1.502</v>
      </c>
    </row>
    <row r="168" spans="2:37" ht="12.75" customHeight="1">
      <c r="B168" s="26">
        <f t="shared" si="7"/>
        <v>160</v>
      </c>
      <c r="C168" s="97" t="s">
        <v>430</v>
      </c>
      <c r="D168" s="39"/>
      <c r="E168" s="39">
        <f>TRUNC((10.58-1)/1+1.9)</f>
        <v>11</v>
      </c>
      <c r="F168" s="139">
        <v>8</v>
      </c>
      <c r="G168" s="122" t="s">
        <v>57</v>
      </c>
      <c r="H168" s="27">
        <f>(0.25*30)*2</f>
        <v>15</v>
      </c>
      <c r="I168" s="55">
        <f t="shared" si="5"/>
        <v>440.54999999999995</v>
      </c>
      <c r="J168" s="59"/>
      <c r="K168" s="4"/>
      <c r="L168" s="4"/>
      <c r="M168" s="4"/>
      <c r="N168" s="4"/>
      <c r="O168" s="4"/>
      <c r="P168" s="4"/>
      <c r="Q168" s="4"/>
      <c r="AK168" s="44">
        <f t="shared" si="6"/>
        <v>2.67</v>
      </c>
    </row>
    <row r="169" spans="2:37" ht="12.75" customHeight="1">
      <c r="B169" s="26">
        <f t="shared" si="7"/>
        <v>161</v>
      </c>
      <c r="C169" s="97" t="s">
        <v>431</v>
      </c>
      <c r="D169" s="39"/>
      <c r="E169" s="39">
        <f>TRUNC((10.17-1)/1+1.9)</f>
        <v>11</v>
      </c>
      <c r="F169" s="139">
        <v>6</v>
      </c>
      <c r="G169" s="122" t="s">
        <v>57</v>
      </c>
      <c r="H169" s="27">
        <f>(0.25*30)*2</f>
        <v>15</v>
      </c>
      <c r="I169" s="55">
        <f t="shared" si="5"/>
        <v>247.83</v>
      </c>
      <c r="J169" s="59"/>
      <c r="K169" s="4"/>
      <c r="L169" s="4"/>
      <c r="M169" s="4"/>
      <c r="N169" s="4"/>
      <c r="O169" s="4"/>
      <c r="P169" s="4"/>
      <c r="Q169" s="4"/>
      <c r="AK169" s="44">
        <f t="shared" si="6"/>
        <v>1.502</v>
      </c>
    </row>
    <row r="170" spans="2:37" ht="12.75" customHeight="1">
      <c r="B170" s="26">
        <f t="shared" si="7"/>
        <v>162</v>
      </c>
      <c r="C170" s="97" t="s">
        <v>420</v>
      </c>
      <c r="D170" s="39"/>
      <c r="E170" s="39">
        <f>TRUNC((10.17-1)/1+1.9)</f>
        <v>11</v>
      </c>
      <c r="F170" s="139">
        <v>5</v>
      </c>
      <c r="G170" s="122" t="s">
        <v>57</v>
      </c>
      <c r="H170" s="27">
        <f>(0.25*24.58)*2</f>
        <v>12.29</v>
      </c>
      <c r="I170" s="55">
        <f t="shared" si="5"/>
        <v>141.00316999999998</v>
      </c>
      <c r="J170" s="59"/>
      <c r="K170" s="4"/>
      <c r="L170" s="4"/>
      <c r="M170" s="4"/>
      <c r="N170" s="4"/>
      <c r="O170" s="4"/>
      <c r="P170" s="4"/>
      <c r="Q170" s="4"/>
      <c r="AK170" s="44">
        <f t="shared" si="6"/>
        <v>1.0429999999999999</v>
      </c>
    </row>
    <row r="171" spans="2:37" ht="12.75" customHeight="1">
      <c r="B171" s="26">
        <f t="shared" si="7"/>
        <v>163</v>
      </c>
      <c r="C171" s="97" t="s">
        <v>418</v>
      </c>
      <c r="D171" s="39"/>
      <c r="E171" s="39">
        <f>TRUNC((10.17-1)/1+1.9)</f>
        <v>11</v>
      </c>
      <c r="F171" s="139">
        <v>6</v>
      </c>
      <c r="G171" s="122" t="s">
        <v>57</v>
      </c>
      <c r="H171" s="27">
        <f>(0.25*30.75)*2</f>
        <v>15.375</v>
      </c>
      <c r="I171" s="55">
        <f t="shared" si="5"/>
        <v>254.02575000000002</v>
      </c>
      <c r="J171" s="59"/>
      <c r="K171" s="4"/>
      <c r="L171" s="4"/>
      <c r="M171" s="4"/>
      <c r="N171" s="4"/>
      <c r="O171" s="4"/>
      <c r="P171" s="4"/>
      <c r="Q171" s="4"/>
      <c r="AK171" s="44">
        <f t="shared" si="6"/>
        <v>1.502</v>
      </c>
    </row>
    <row r="172" spans="2:37" ht="12.75" customHeight="1">
      <c r="B172" s="26">
        <f t="shared" si="7"/>
        <v>164</v>
      </c>
      <c r="C172" s="97" t="s">
        <v>420</v>
      </c>
      <c r="D172" s="39"/>
      <c r="E172" s="39">
        <f>TRUNC((7.5-1)/1+1.9)</f>
        <v>8</v>
      </c>
      <c r="F172" s="139">
        <v>5</v>
      </c>
      <c r="G172" s="122" t="s">
        <v>57</v>
      </c>
      <c r="H172" s="27">
        <f>0.25*30.75</f>
        <v>7.6875</v>
      </c>
      <c r="I172" s="55">
        <f t="shared" si="5"/>
        <v>64.144499999999994</v>
      </c>
      <c r="J172" s="59"/>
      <c r="K172" s="4"/>
      <c r="L172" s="4"/>
      <c r="M172" s="4"/>
      <c r="N172" s="4"/>
      <c r="O172" s="4"/>
      <c r="P172" s="4"/>
      <c r="Q172" s="4"/>
      <c r="AK172" s="44">
        <f t="shared" si="6"/>
        <v>1.0429999999999999</v>
      </c>
    </row>
    <row r="173" spans="2:37" ht="12.75" customHeight="1">
      <c r="B173" s="26">
        <f t="shared" si="7"/>
        <v>165</v>
      </c>
      <c r="C173" s="87" t="s">
        <v>280</v>
      </c>
      <c r="D173" s="39"/>
      <c r="E173" s="39"/>
      <c r="F173" s="139"/>
      <c r="G173" s="122"/>
      <c r="H173" s="27"/>
      <c r="I173" s="55">
        <f t="shared" si="5"/>
        <v>0</v>
      </c>
      <c r="J173" s="59"/>
      <c r="K173" s="4"/>
      <c r="L173" s="4"/>
      <c r="M173" s="4"/>
      <c r="N173" s="4"/>
      <c r="O173" s="4"/>
      <c r="P173" s="4"/>
      <c r="Q173" s="4"/>
      <c r="AK173" s="44">
        <f t="shared" si="6"/>
        <v>0</v>
      </c>
    </row>
    <row r="174" spans="2:37" ht="12.75" customHeight="1">
      <c r="B174" s="26">
        <f t="shared" si="7"/>
        <v>166</v>
      </c>
      <c r="C174" s="97" t="s">
        <v>431</v>
      </c>
      <c r="D174" s="39"/>
      <c r="E174" s="39">
        <f>TRUNC((11-1)/1+1.9)</f>
        <v>11</v>
      </c>
      <c r="F174" s="139">
        <v>6</v>
      </c>
      <c r="G174" s="122" t="s">
        <v>57</v>
      </c>
      <c r="H174" s="27">
        <f>(0.35*19.33)</f>
        <v>6.7654999999999994</v>
      </c>
      <c r="I174" s="55">
        <f t="shared" si="5"/>
        <v>111.779591</v>
      </c>
      <c r="J174" s="59"/>
      <c r="K174" s="4"/>
      <c r="M174" s="4"/>
      <c r="N174" s="4"/>
      <c r="O174" s="4"/>
      <c r="P174" s="4"/>
      <c r="Q174" s="4"/>
      <c r="AK174" s="44">
        <f t="shared" si="6"/>
        <v>1.502</v>
      </c>
    </row>
    <row r="175" spans="2:37" ht="12.75" customHeight="1">
      <c r="B175" s="26">
        <f t="shared" si="7"/>
        <v>167</v>
      </c>
      <c r="C175" s="97" t="s">
        <v>435</v>
      </c>
      <c r="D175" s="39"/>
      <c r="E175" s="39">
        <f>TRUNC((11-0.5)/0.5+1.9)</f>
        <v>22</v>
      </c>
      <c r="F175" s="139">
        <v>9</v>
      </c>
      <c r="G175" s="122" t="s">
        <v>57</v>
      </c>
      <c r="H175" s="27">
        <f>(0.35*31.5)*2</f>
        <v>22.049999999999997</v>
      </c>
      <c r="I175" s="55">
        <f t="shared" si="5"/>
        <v>1649.3399999999997</v>
      </c>
      <c r="J175" s="59"/>
      <c r="K175" s="4"/>
      <c r="L175" s="4"/>
      <c r="M175" s="4"/>
      <c r="N175" s="4"/>
      <c r="O175" s="4"/>
      <c r="P175" s="4"/>
      <c r="Q175" s="4"/>
      <c r="AK175" s="44">
        <f t="shared" si="6"/>
        <v>3.4</v>
      </c>
    </row>
    <row r="176" spans="2:37" ht="12.75" customHeight="1">
      <c r="B176" s="26">
        <f t="shared" si="7"/>
        <v>168</v>
      </c>
      <c r="C176" s="97" t="s">
        <v>420</v>
      </c>
      <c r="D176" s="39"/>
      <c r="E176" s="39">
        <f>TRUNC((11-1)/1+1.9)</f>
        <v>11</v>
      </c>
      <c r="F176" s="139">
        <v>5</v>
      </c>
      <c r="G176" s="122" t="s">
        <v>57</v>
      </c>
      <c r="H176" s="27">
        <v>31.5</v>
      </c>
      <c r="I176" s="55">
        <f t="shared" si="5"/>
        <v>361.39949999999993</v>
      </c>
      <c r="J176" s="59"/>
      <c r="K176" s="4"/>
      <c r="L176" s="4"/>
      <c r="M176" s="4"/>
      <c r="N176" s="4"/>
      <c r="O176" s="4"/>
      <c r="P176" s="4"/>
      <c r="Q176" s="4"/>
      <c r="AK176" s="44">
        <f t="shared" si="6"/>
        <v>1.0429999999999999</v>
      </c>
    </row>
    <row r="177" spans="2:37" ht="12.75" customHeight="1">
      <c r="B177" s="26">
        <f t="shared" si="7"/>
        <v>169</v>
      </c>
      <c r="C177" s="97" t="s">
        <v>427</v>
      </c>
      <c r="D177" s="39"/>
      <c r="E177" s="39">
        <f>TRUNC((11-0.83)/0.83+1.9)</f>
        <v>14</v>
      </c>
      <c r="F177" s="139">
        <v>8</v>
      </c>
      <c r="G177" s="122" t="s">
        <v>57</v>
      </c>
      <c r="H177" s="27">
        <f>(0.35*31.5)*2</f>
        <v>22.049999999999997</v>
      </c>
      <c r="I177" s="55">
        <f t="shared" si="5"/>
        <v>824.22899999999993</v>
      </c>
      <c r="J177" s="59"/>
      <c r="L177" s="4"/>
      <c r="M177" s="4"/>
      <c r="N177" s="4"/>
      <c r="O177" s="4"/>
      <c r="P177" s="4"/>
      <c r="Q177" s="4"/>
      <c r="AK177" s="44">
        <f t="shared" si="6"/>
        <v>2.67</v>
      </c>
    </row>
    <row r="178" spans="2:37" ht="12.75" customHeight="1">
      <c r="B178" s="26">
        <f t="shared" si="7"/>
        <v>170</v>
      </c>
      <c r="C178" s="97" t="s">
        <v>431</v>
      </c>
      <c r="D178" s="39"/>
      <c r="E178" s="39">
        <f>TRUNC((11-1)/1+1.9)</f>
        <v>11</v>
      </c>
      <c r="F178" s="139">
        <v>6</v>
      </c>
      <c r="G178" s="122" t="s">
        <v>57</v>
      </c>
      <c r="H178" s="27">
        <f>(0.35*26)*2</f>
        <v>18.2</v>
      </c>
      <c r="I178" s="55">
        <f t="shared" si="5"/>
        <v>300.70039999999995</v>
      </c>
      <c r="J178" s="59"/>
      <c r="K178" s="4"/>
      <c r="L178" s="4"/>
      <c r="M178" s="4"/>
      <c r="N178" s="4"/>
      <c r="O178" s="4"/>
      <c r="P178" s="4"/>
      <c r="Q178" s="4"/>
      <c r="AK178" s="44">
        <f t="shared" si="6"/>
        <v>1.502</v>
      </c>
    </row>
    <row r="179" spans="2:37" ht="12.75" customHeight="1">
      <c r="B179" s="26">
        <f t="shared" si="7"/>
        <v>171</v>
      </c>
      <c r="C179" s="97" t="s">
        <v>427</v>
      </c>
      <c r="D179" s="39"/>
      <c r="E179" s="39">
        <f>TRUNC((11-0.83)/0.83+1.9)</f>
        <v>14</v>
      </c>
      <c r="F179" s="139">
        <v>8</v>
      </c>
      <c r="G179" s="122" t="s">
        <v>57</v>
      </c>
      <c r="H179" s="27">
        <f>(0.35*30.33)*2</f>
        <v>21.230999999999998</v>
      </c>
      <c r="I179" s="55">
        <f t="shared" si="5"/>
        <v>793.61477999999988</v>
      </c>
      <c r="J179" s="59"/>
      <c r="K179" s="4"/>
      <c r="L179" s="4"/>
      <c r="M179" s="4"/>
      <c r="N179" s="4"/>
      <c r="O179" s="4"/>
      <c r="P179" s="4"/>
      <c r="Q179" s="4"/>
      <c r="AK179" s="44">
        <f t="shared" si="6"/>
        <v>2.67</v>
      </c>
    </row>
    <row r="180" spans="2:37" ht="12.75" customHeight="1">
      <c r="B180" s="26">
        <f t="shared" si="7"/>
        <v>172</v>
      </c>
      <c r="C180" s="97" t="s">
        <v>420</v>
      </c>
      <c r="D180" s="39"/>
      <c r="E180" s="39">
        <f>TRUNC((11-1)/1+1.9)</f>
        <v>11</v>
      </c>
      <c r="F180" s="139">
        <v>5</v>
      </c>
      <c r="G180" s="122" t="s">
        <v>57</v>
      </c>
      <c r="H180" s="27">
        <v>30</v>
      </c>
      <c r="I180" s="55">
        <f t="shared" si="5"/>
        <v>344.19</v>
      </c>
      <c r="J180" s="59"/>
      <c r="K180" s="4"/>
      <c r="L180" s="4"/>
      <c r="M180" s="4"/>
      <c r="N180" s="4"/>
      <c r="O180" s="4"/>
      <c r="P180" s="4"/>
      <c r="Q180" s="4"/>
      <c r="AK180" s="44">
        <f t="shared" si="6"/>
        <v>1.0429999999999999</v>
      </c>
    </row>
    <row r="181" spans="2:37" ht="12.75" customHeight="1">
      <c r="B181" s="26">
        <f t="shared" si="7"/>
        <v>173</v>
      </c>
      <c r="C181" s="97" t="s">
        <v>415</v>
      </c>
      <c r="D181" s="39"/>
      <c r="E181" s="39">
        <f>TRUNC((10.67-1)/1+1.9)</f>
        <v>11</v>
      </c>
      <c r="F181" s="139">
        <v>7</v>
      </c>
      <c r="G181" s="122" t="s">
        <v>57</v>
      </c>
      <c r="H181" s="27">
        <f>(0.35*30)*2</f>
        <v>21</v>
      </c>
      <c r="I181" s="55">
        <f t="shared" si="5"/>
        <v>472.16399999999999</v>
      </c>
      <c r="J181" s="59"/>
      <c r="K181" s="4"/>
      <c r="L181" s="4"/>
      <c r="M181" s="4"/>
      <c r="N181" s="4"/>
      <c r="O181" s="4"/>
      <c r="P181" s="4"/>
      <c r="Q181" s="4"/>
      <c r="AK181" s="44">
        <f t="shared" si="6"/>
        <v>2.044</v>
      </c>
    </row>
    <row r="182" spans="2:37" ht="12.75" customHeight="1">
      <c r="B182" s="26">
        <f t="shared" si="7"/>
        <v>174</v>
      </c>
      <c r="C182" s="97" t="s">
        <v>431</v>
      </c>
      <c r="D182" s="39"/>
      <c r="E182" s="39">
        <f>TRUNC((10.67-1)/1+1.9)</f>
        <v>11</v>
      </c>
      <c r="F182" s="139">
        <v>6</v>
      </c>
      <c r="G182" s="122" t="s">
        <v>57</v>
      </c>
      <c r="H182" s="27">
        <f>37.83</f>
        <v>37.83</v>
      </c>
      <c r="I182" s="55">
        <f t="shared" si="5"/>
        <v>625.02725999999996</v>
      </c>
      <c r="J182" s="59"/>
      <c r="L182" s="4"/>
      <c r="M182" s="4"/>
      <c r="N182" s="4"/>
      <c r="O182" s="4"/>
      <c r="P182" s="4"/>
      <c r="Q182" s="4"/>
      <c r="AK182" s="44">
        <f t="shared" si="6"/>
        <v>1.502</v>
      </c>
    </row>
    <row r="183" spans="2:37" ht="12.75" customHeight="1">
      <c r="B183" s="26">
        <f t="shared" si="7"/>
        <v>175</v>
      </c>
      <c r="C183" s="97" t="s">
        <v>420</v>
      </c>
      <c r="D183" s="39"/>
      <c r="E183" s="39">
        <f>TRUNC((6.5-1)/1+1.9)</f>
        <v>7</v>
      </c>
      <c r="F183" s="139">
        <v>5</v>
      </c>
      <c r="G183" s="122" t="s">
        <v>57</v>
      </c>
      <c r="H183" s="27">
        <f>0.35*17.25</f>
        <v>6.0374999999999996</v>
      </c>
      <c r="I183" s="55">
        <f t="shared" si="5"/>
        <v>44.079787499999995</v>
      </c>
      <c r="J183" s="59"/>
      <c r="K183" s="4"/>
      <c r="L183" s="4"/>
      <c r="M183" s="4"/>
      <c r="N183" s="4"/>
      <c r="O183" s="4"/>
      <c r="P183" s="4"/>
      <c r="Q183" s="4"/>
      <c r="AK183" s="44">
        <f t="shared" si="6"/>
        <v>1.0429999999999999</v>
      </c>
    </row>
    <row r="184" spans="2:37" ht="12.75" customHeight="1">
      <c r="B184" s="26">
        <f t="shared" si="7"/>
        <v>176</v>
      </c>
      <c r="C184" s="87" t="s">
        <v>487</v>
      </c>
      <c r="D184" s="39"/>
      <c r="E184" s="39"/>
      <c r="F184" s="139"/>
      <c r="G184" s="122"/>
      <c r="H184" s="27"/>
      <c r="I184" s="55">
        <f t="shared" si="5"/>
        <v>0</v>
      </c>
      <c r="J184" s="59"/>
      <c r="K184" s="4"/>
      <c r="L184" s="4"/>
      <c r="M184" s="4"/>
      <c r="N184" s="4"/>
      <c r="O184" s="4"/>
      <c r="P184" s="4"/>
      <c r="Q184" s="4"/>
      <c r="AK184" s="44">
        <f t="shared" si="6"/>
        <v>0</v>
      </c>
    </row>
    <row r="185" spans="2:37" ht="12.75" customHeight="1">
      <c r="B185" s="26">
        <f t="shared" si="7"/>
        <v>177</v>
      </c>
      <c r="C185" s="97" t="s">
        <v>420</v>
      </c>
      <c r="D185" s="39"/>
      <c r="E185" s="39">
        <f t="shared" ref="E185:E191" si="8">TRUNC((11.58-1)/1+1.9)</f>
        <v>12</v>
      </c>
      <c r="F185" s="139">
        <v>5</v>
      </c>
      <c r="G185" s="122" t="s">
        <v>57</v>
      </c>
      <c r="H185" s="27">
        <f>(0.25*18.75)</f>
        <v>4.6875</v>
      </c>
      <c r="I185" s="55">
        <f t="shared" si="5"/>
        <v>58.668749999999996</v>
      </c>
      <c r="J185" s="59"/>
      <c r="K185" s="4"/>
      <c r="L185" s="4"/>
      <c r="M185" s="4"/>
      <c r="N185" s="4"/>
      <c r="O185" s="4"/>
      <c r="P185" s="4"/>
      <c r="Q185" s="4"/>
      <c r="AK185" s="44">
        <f t="shared" si="6"/>
        <v>1.0429999999999999</v>
      </c>
    </row>
    <row r="186" spans="2:37" ht="12.75" customHeight="1">
      <c r="B186" s="26">
        <f t="shared" si="7"/>
        <v>178</v>
      </c>
      <c r="C186" s="97" t="s">
        <v>431</v>
      </c>
      <c r="D186" s="39"/>
      <c r="E186" s="39">
        <f t="shared" si="8"/>
        <v>12</v>
      </c>
      <c r="F186" s="139">
        <v>6</v>
      </c>
      <c r="G186" s="122" t="s">
        <v>57</v>
      </c>
      <c r="H186" s="27">
        <f>(0.25*31.58)*2</f>
        <v>15.79</v>
      </c>
      <c r="I186" s="55">
        <f t="shared" si="5"/>
        <v>284.59896000000003</v>
      </c>
      <c r="J186" s="59"/>
      <c r="K186" s="4"/>
      <c r="L186" s="4"/>
      <c r="M186" s="4"/>
      <c r="N186" s="4"/>
      <c r="O186" s="4"/>
      <c r="P186" s="4"/>
      <c r="Q186" s="4"/>
      <c r="AK186" s="44">
        <f t="shared" si="6"/>
        <v>1.502</v>
      </c>
    </row>
    <row r="187" spans="2:37" ht="12.75" customHeight="1">
      <c r="B187" s="26">
        <f t="shared" si="7"/>
        <v>179</v>
      </c>
      <c r="C187" s="97" t="s">
        <v>420</v>
      </c>
      <c r="D187" s="39"/>
      <c r="E187" s="39">
        <f t="shared" si="8"/>
        <v>12</v>
      </c>
      <c r="F187" s="139">
        <v>5</v>
      </c>
      <c r="G187" s="122" t="s">
        <v>57</v>
      </c>
      <c r="H187" s="27">
        <f>31.33</f>
        <v>31.33</v>
      </c>
      <c r="I187" s="55">
        <f t="shared" si="5"/>
        <v>392.12627999999995</v>
      </c>
      <c r="J187" s="59"/>
      <c r="K187" s="4"/>
      <c r="L187" s="4"/>
      <c r="M187" s="4"/>
      <c r="N187" s="4"/>
      <c r="O187" s="4"/>
      <c r="P187" s="4"/>
      <c r="Q187" s="4"/>
      <c r="AK187" s="44">
        <f t="shared" si="6"/>
        <v>1.0429999999999999</v>
      </c>
    </row>
    <row r="188" spans="2:37" ht="12.75" customHeight="1">
      <c r="B188" s="26">
        <f t="shared" si="7"/>
        <v>180</v>
      </c>
      <c r="C188" s="97" t="s">
        <v>420</v>
      </c>
      <c r="D188" s="39"/>
      <c r="E188" s="39">
        <f t="shared" si="8"/>
        <v>12</v>
      </c>
      <c r="F188" s="139">
        <v>5</v>
      </c>
      <c r="G188" s="122" t="s">
        <v>57</v>
      </c>
      <c r="H188" s="27">
        <f>(0.25*31.58)*2</f>
        <v>15.79</v>
      </c>
      <c r="I188" s="55">
        <f t="shared" si="5"/>
        <v>197.62763999999999</v>
      </c>
      <c r="J188" s="59"/>
      <c r="K188" s="4"/>
      <c r="L188" s="4"/>
      <c r="M188" s="4"/>
      <c r="N188" s="4"/>
      <c r="O188" s="4"/>
      <c r="P188" s="4"/>
      <c r="Q188" s="4"/>
      <c r="AK188" s="44">
        <f t="shared" si="6"/>
        <v>1.0429999999999999</v>
      </c>
    </row>
    <row r="189" spans="2:37" ht="12.75" customHeight="1">
      <c r="B189" s="26">
        <f t="shared" si="7"/>
        <v>181</v>
      </c>
      <c r="C189" s="97" t="s">
        <v>420</v>
      </c>
      <c r="D189" s="39"/>
      <c r="E189" s="39">
        <f t="shared" si="8"/>
        <v>12</v>
      </c>
      <c r="F189" s="139">
        <v>5</v>
      </c>
      <c r="G189" s="122" t="s">
        <v>57</v>
      </c>
      <c r="H189" s="27">
        <f>(0.25*25.67)*2</f>
        <v>12.835000000000001</v>
      </c>
      <c r="I189" s="55">
        <f t="shared" si="5"/>
        <v>160.64286000000001</v>
      </c>
      <c r="J189" s="59"/>
      <c r="K189" s="4"/>
      <c r="L189" s="4"/>
      <c r="M189" s="4"/>
      <c r="N189" s="4"/>
      <c r="O189" s="4"/>
      <c r="P189" s="4"/>
      <c r="Q189" s="4"/>
      <c r="AK189" s="44">
        <f t="shared" si="6"/>
        <v>1.0429999999999999</v>
      </c>
    </row>
    <row r="190" spans="2:37" ht="12.75" customHeight="1">
      <c r="B190" s="26">
        <f t="shared" si="7"/>
        <v>182</v>
      </c>
      <c r="C190" s="97" t="s">
        <v>420</v>
      </c>
      <c r="D190" s="39"/>
      <c r="E190" s="39">
        <f t="shared" si="8"/>
        <v>12</v>
      </c>
      <c r="F190" s="139">
        <v>5</v>
      </c>
      <c r="G190" s="122" t="s">
        <v>57</v>
      </c>
      <c r="H190" s="27">
        <f>(0.25*30.17)*2</f>
        <v>15.085000000000001</v>
      </c>
      <c r="I190" s="55">
        <f t="shared" si="5"/>
        <v>188.80386000000001</v>
      </c>
      <c r="J190" s="59"/>
      <c r="K190" s="4"/>
      <c r="M190" s="4"/>
      <c r="N190" s="4"/>
      <c r="O190" s="4"/>
      <c r="P190" s="4"/>
      <c r="Q190" s="4"/>
      <c r="AK190" s="44">
        <f t="shared" si="6"/>
        <v>1.0429999999999999</v>
      </c>
    </row>
    <row r="191" spans="2:37" ht="12.75" customHeight="1">
      <c r="B191" s="26">
        <f t="shared" si="7"/>
        <v>183</v>
      </c>
      <c r="C191" s="97" t="s">
        <v>420</v>
      </c>
      <c r="D191" s="39"/>
      <c r="E191" s="39">
        <f t="shared" si="8"/>
        <v>12</v>
      </c>
      <c r="F191" s="139">
        <v>5</v>
      </c>
      <c r="G191" s="122" t="s">
        <v>57</v>
      </c>
      <c r="H191" s="27">
        <v>29.83</v>
      </c>
      <c r="I191" s="55">
        <f t="shared" si="5"/>
        <v>373.35227999999995</v>
      </c>
      <c r="J191" s="59"/>
      <c r="K191" s="4"/>
      <c r="L191" s="4"/>
      <c r="M191" s="4"/>
      <c r="N191" s="4"/>
      <c r="O191" s="4"/>
      <c r="P191" s="4"/>
      <c r="Q191" s="4"/>
      <c r="AK191" s="44">
        <f t="shared" si="6"/>
        <v>1.0429999999999999</v>
      </c>
    </row>
    <row r="192" spans="2:37" ht="12.75" customHeight="1">
      <c r="B192" s="26">
        <f t="shared" si="7"/>
        <v>184</v>
      </c>
      <c r="C192" s="97" t="s">
        <v>431</v>
      </c>
      <c r="D192" s="39"/>
      <c r="E192" s="39">
        <f>TRUNC((14-1)/1+1.9)</f>
        <v>14</v>
      </c>
      <c r="F192" s="139">
        <v>6</v>
      </c>
      <c r="G192" s="122" t="s">
        <v>57</v>
      </c>
      <c r="H192" s="27">
        <f>32.17</f>
        <v>32.17</v>
      </c>
      <c r="I192" s="55">
        <f t="shared" si="5"/>
        <v>676.47076000000004</v>
      </c>
      <c r="J192" s="59"/>
      <c r="K192" s="4"/>
      <c r="L192" s="4"/>
      <c r="M192" s="4"/>
      <c r="N192" s="4"/>
      <c r="O192" s="4"/>
      <c r="P192" s="4"/>
      <c r="Q192" s="4"/>
      <c r="AK192" s="44">
        <f t="shared" si="6"/>
        <v>1.502</v>
      </c>
    </row>
    <row r="193" spans="2:37" ht="12.75" customHeight="1">
      <c r="B193" s="26">
        <f t="shared" si="7"/>
        <v>185</v>
      </c>
      <c r="C193" s="97" t="s">
        <v>420</v>
      </c>
      <c r="D193" s="39"/>
      <c r="E193" s="39">
        <f>TRUNC((14-1)/1+1.9)</f>
        <v>14</v>
      </c>
      <c r="F193" s="139">
        <v>5</v>
      </c>
      <c r="G193" s="122" t="s">
        <v>57</v>
      </c>
      <c r="H193" s="27">
        <f>0.25*17.75</f>
        <v>4.4375</v>
      </c>
      <c r="I193" s="55">
        <f t="shared" si="5"/>
        <v>64.796374999999998</v>
      </c>
      <c r="J193" s="59"/>
      <c r="L193" s="4"/>
      <c r="M193" s="4"/>
      <c r="N193" s="4"/>
      <c r="O193" s="4"/>
      <c r="P193" s="4"/>
      <c r="Q193" s="4"/>
      <c r="AK193" s="44">
        <f t="shared" si="6"/>
        <v>1.0429999999999999</v>
      </c>
    </row>
    <row r="194" spans="2:37" ht="12.75" customHeight="1">
      <c r="B194" s="26">
        <f t="shared" si="7"/>
        <v>186</v>
      </c>
      <c r="C194" s="87" t="s">
        <v>497</v>
      </c>
      <c r="D194" s="39"/>
      <c r="E194" s="39"/>
      <c r="F194" s="139"/>
      <c r="G194" s="122"/>
      <c r="H194" s="27"/>
      <c r="I194" s="55">
        <f t="shared" si="5"/>
        <v>0</v>
      </c>
      <c r="J194" s="59"/>
      <c r="K194" s="4"/>
      <c r="L194" s="4"/>
      <c r="M194" s="4"/>
      <c r="N194" s="4"/>
      <c r="O194" s="4"/>
      <c r="P194" s="4"/>
      <c r="Q194" s="4"/>
      <c r="AK194" s="44">
        <f t="shared" si="6"/>
        <v>0</v>
      </c>
    </row>
    <row r="195" spans="2:37" ht="12.75" customHeight="1">
      <c r="B195" s="26">
        <f t="shared" si="7"/>
        <v>187</v>
      </c>
      <c r="C195" s="97" t="s">
        <v>431</v>
      </c>
      <c r="D195" s="39"/>
      <c r="E195" s="39">
        <f>TRUNC((5.83-0.083-0.5)/1+1.9)</f>
        <v>7</v>
      </c>
      <c r="F195" s="139">
        <v>6</v>
      </c>
      <c r="G195" s="122" t="s">
        <v>57</v>
      </c>
      <c r="H195" s="27">
        <f>0.35*18</f>
        <v>6.3</v>
      </c>
      <c r="I195" s="55">
        <f t="shared" si="5"/>
        <v>66.238200000000006</v>
      </c>
      <c r="J195" s="59"/>
      <c r="K195" s="4"/>
      <c r="L195" s="4"/>
      <c r="M195" s="4"/>
      <c r="N195" s="4"/>
      <c r="O195" s="4"/>
      <c r="P195" s="4"/>
      <c r="Q195" s="4"/>
      <c r="AK195" s="44">
        <f t="shared" si="6"/>
        <v>1.502</v>
      </c>
    </row>
    <row r="196" spans="2:37" ht="12.75" customHeight="1">
      <c r="B196" s="26">
        <f t="shared" si="7"/>
        <v>188</v>
      </c>
      <c r="C196" s="97" t="s">
        <v>431</v>
      </c>
      <c r="D196" s="39"/>
      <c r="E196" s="39">
        <f>TRUNC((5.83-0.083-0.5)/1+1.9)</f>
        <v>7</v>
      </c>
      <c r="F196" s="139">
        <v>6</v>
      </c>
      <c r="G196" s="122" t="s">
        <v>57</v>
      </c>
      <c r="H196" s="27">
        <f>(0.35*31.5)*2</f>
        <v>22.049999999999997</v>
      </c>
      <c r="I196" s="55">
        <f t="shared" si="5"/>
        <v>231.83369999999996</v>
      </c>
      <c r="J196" s="59"/>
      <c r="L196" s="4"/>
      <c r="M196" s="4"/>
      <c r="N196" s="4"/>
      <c r="O196" s="4"/>
      <c r="P196" s="4"/>
      <c r="Q196" s="4"/>
      <c r="AK196" s="44">
        <f t="shared" si="6"/>
        <v>1.502</v>
      </c>
    </row>
    <row r="197" spans="2:37" ht="12.75" customHeight="1">
      <c r="B197" s="26">
        <f t="shared" si="7"/>
        <v>189</v>
      </c>
      <c r="C197" s="97" t="s">
        <v>420</v>
      </c>
      <c r="D197" s="39"/>
      <c r="E197" s="39">
        <f>TRUNC((11.67-0.083*2)/1+1.9)</f>
        <v>13</v>
      </c>
      <c r="F197" s="139">
        <v>5</v>
      </c>
      <c r="G197" s="122" t="s">
        <v>57</v>
      </c>
      <c r="H197" s="27">
        <v>31.25</v>
      </c>
      <c r="I197" s="55">
        <f t="shared" si="5"/>
        <v>423.71875</v>
      </c>
      <c r="J197" s="59"/>
      <c r="K197" s="4"/>
      <c r="L197" s="4"/>
      <c r="M197" s="4"/>
      <c r="N197" s="4"/>
      <c r="O197" s="4"/>
      <c r="P197" s="4"/>
      <c r="Q197" s="4"/>
      <c r="AK197" s="44">
        <f t="shared" si="6"/>
        <v>1.0429999999999999</v>
      </c>
    </row>
    <row r="198" spans="2:37" ht="12.75" customHeight="1">
      <c r="B198" s="26">
        <f t="shared" si="7"/>
        <v>190</v>
      </c>
      <c r="C198" s="97" t="s">
        <v>436</v>
      </c>
      <c r="D198" s="39"/>
      <c r="E198" s="39">
        <f>TRUNC((5.83-0.083-0.42)/0.83+1.9)</f>
        <v>8</v>
      </c>
      <c r="F198" s="139">
        <v>9</v>
      </c>
      <c r="G198" s="122" t="s">
        <v>57</v>
      </c>
      <c r="H198" s="27">
        <f>(0.35*31.5)*2</f>
        <v>22.049999999999997</v>
      </c>
      <c r="I198" s="55">
        <f t="shared" si="5"/>
        <v>599.75999999999988</v>
      </c>
      <c r="J198" s="59"/>
      <c r="K198" s="4"/>
      <c r="L198" s="4"/>
      <c r="M198" s="4"/>
      <c r="N198" s="4"/>
      <c r="O198" s="4"/>
      <c r="P198" s="4"/>
      <c r="Q198" s="4"/>
      <c r="AK198" s="44">
        <f t="shared" si="6"/>
        <v>3.4</v>
      </c>
    </row>
    <row r="199" spans="2:37" ht="12.75" customHeight="1">
      <c r="B199" s="26">
        <f t="shared" si="7"/>
        <v>191</v>
      </c>
      <c r="C199" s="97" t="s">
        <v>431</v>
      </c>
      <c r="D199" s="39"/>
      <c r="E199" s="39">
        <f>TRUNC((5.83-0.083-0.42)/0.83+1.9)</f>
        <v>8</v>
      </c>
      <c r="F199" s="139">
        <v>6</v>
      </c>
      <c r="G199" s="122" t="s">
        <v>57</v>
      </c>
      <c r="H199" s="27">
        <f>(0.35*26)*2</f>
        <v>18.2</v>
      </c>
      <c r="I199" s="55">
        <f t="shared" si="5"/>
        <v>218.69119999999998</v>
      </c>
      <c r="J199" s="59"/>
      <c r="K199" s="4"/>
      <c r="L199" s="4"/>
      <c r="M199" s="4"/>
      <c r="N199" s="4"/>
      <c r="O199" s="4"/>
      <c r="P199" s="4"/>
      <c r="Q199" s="4"/>
      <c r="AK199" s="44">
        <f t="shared" si="6"/>
        <v>1.502</v>
      </c>
    </row>
    <row r="200" spans="2:37" ht="12.75" customHeight="1">
      <c r="B200" s="26">
        <f t="shared" si="7"/>
        <v>192</v>
      </c>
      <c r="C200" s="97" t="s">
        <v>427</v>
      </c>
      <c r="D200" s="39"/>
      <c r="E200" s="39">
        <f>TRUNC((11-0.83)/0.83+1.9)</f>
        <v>14</v>
      </c>
      <c r="F200" s="139">
        <v>8</v>
      </c>
      <c r="G200" s="122" t="s">
        <v>57</v>
      </c>
      <c r="H200" s="27">
        <f>(0.35*30.33)*2</f>
        <v>21.230999999999998</v>
      </c>
      <c r="I200" s="55">
        <f t="shared" si="5"/>
        <v>793.61477999999988</v>
      </c>
      <c r="J200" s="59"/>
      <c r="K200" s="4"/>
      <c r="L200" s="4"/>
      <c r="M200" s="4"/>
      <c r="N200" s="4"/>
      <c r="O200" s="4"/>
      <c r="P200" s="4"/>
      <c r="Q200" s="4"/>
      <c r="AK200" s="44">
        <f t="shared" si="6"/>
        <v>2.67</v>
      </c>
    </row>
    <row r="201" spans="2:37" ht="12.75" customHeight="1">
      <c r="B201" s="26">
        <f t="shared" si="7"/>
        <v>193</v>
      </c>
      <c r="C201" s="97" t="s">
        <v>420</v>
      </c>
      <c r="D201" s="39"/>
      <c r="E201" s="39">
        <f>TRUNC((11-1)/1+1.9)</f>
        <v>11</v>
      </c>
      <c r="F201" s="139">
        <v>5</v>
      </c>
      <c r="G201" s="122" t="s">
        <v>57</v>
      </c>
      <c r="H201" s="27">
        <v>30</v>
      </c>
      <c r="I201" s="55">
        <f t="shared" si="5"/>
        <v>344.19</v>
      </c>
      <c r="J201" s="59"/>
      <c r="K201" s="4"/>
      <c r="L201" s="4"/>
      <c r="M201" s="4"/>
      <c r="N201" s="4"/>
      <c r="O201" s="4"/>
      <c r="P201" s="4"/>
      <c r="Q201" s="4"/>
      <c r="AK201" s="44">
        <f t="shared" ref="AK201:AK264" si="9">IF(F201="",0,VLOOKUP(F201,$CI$16:$CJ$408,2,FALSE))</f>
        <v>1.0429999999999999</v>
      </c>
    </row>
    <row r="202" spans="2:37" ht="12.75" customHeight="1">
      <c r="B202" s="26">
        <f t="shared" ref="B202:B265" si="10">IF(B201="SL.NO",1,B201+1)</f>
        <v>194</v>
      </c>
      <c r="C202" s="97" t="s">
        <v>415</v>
      </c>
      <c r="D202" s="39"/>
      <c r="E202" s="39">
        <f>TRUNC((10.67-1)/1+1.9)</f>
        <v>11</v>
      </c>
      <c r="F202" s="139">
        <v>7</v>
      </c>
      <c r="G202" s="122" t="s">
        <v>57</v>
      </c>
      <c r="H202" s="27">
        <f>(0.35*30)*2</f>
        <v>21</v>
      </c>
      <c r="I202" s="55">
        <f t="shared" si="5"/>
        <v>472.16399999999999</v>
      </c>
      <c r="J202" s="59"/>
      <c r="K202" s="4"/>
      <c r="L202" s="4"/>
      <c r="M202" s="4"/>
      <c r="N202" s="4"/>
      <c r="O202" s="4"/>
      <c r="P202" s="4"/>
      <c r="Q202" s="4"/>
      <c r="AK202" s="44">
        <f t="shared" si="9"/>
        <v>2.044</v>
      </c>
    </row>
    <row r="203" spans="2:37" ht="12.75" customHeight="1">
      <c r="B203" s="26">
        <f t="shared" si="10"/>
        <v>195</v>
      </c>
      <c r="C203" s="97" t="s">
        <v>431</v>
      </c>
      <c r="D203" s="39"/>
      <c r="E203" s="39">
        <f>TRUNC((10.67-1)/1+1.9)</f>
        <v>11</v>
      </c>
      <c r="F203" s="139">
        <v>6</v>
      </c>
      <c r="G203" s="122" t="s">
        <v>57</v>
      </c>
      <c r="H203" s="27">
        <f>37.83</f>
        <v>37.83</v>
      </c>
      <c r="I203" s="55">
        <f t="shared" si="5"/>
        <v>625.02725999999996</v>
      </c>
      <c r="J203" s="59"/>
      <c r="K203" s="4"/>
      <c r="L203" s="4"/>
      <c r="M203" s="4"/>
      <c r="N203" s="4"/>
      <c r="O203" s="4"/>
      <c r="P203" s="4"/>
      <c r="Q203" s="4"/>
      <c r="AK203" s="44">
        <f t="shared" si="9"/>
        <v>1.502</v>
      </c>
    </row>
    <row r="204" spans="2:37" ht="12.75" customHeight="1">
      <c r="B204" s="26">
        <f t="shared" si="10"/>
        <v>196</v>
      </c>
      <c r="C204" s="97" t="s">
        <v>420</v>
      </c>
      <c r="D204" s="39"/>
      <c r="E204" s="39">
        <f>TRUNC((6.5-1)/1+1.9)</f>
        <v>7</v>
      </c>
      <c r="F204" s="139">
        <v>5</v>
      </c>
      <c r="G204" s="122" t="s">
        <v>57</v>
      </c>
      <c r="H204" s="27">
        <f>0.35*17.25</f>
        <v>6.0374999999999996</v>
      </c>
      <c r="I204" s="55">
        <f t="shared" si="5"/>
        <v>44.079787499999995</v>
      </c>
      <c r="J204" s="59"/>
      <c r="K204" s="4"/>
      <c r="M204" s="4"/>
      <c r="N204" s="4"/>
      <c r="O204" s="4"/>
      <c r="P204" s="4"/>
      <c r="Q204" s="4"/>
      <c r="AK204" s="44">
        <f t="shared" si="9"/>
        <v>1.0429999999999999</v>
      </c>
    </row>
    <row r="205" spans="2:37" ht="12.75" customHeight="1">
      <c r="B205" s="26">
        <f t="shared" si="10"/>
        <v>197</v>
      </c>
      <c r="C205" s="31" t="s">
        <v>332</v>
      </c>
      <c r="D205" s="66"/>
      <c r="E205" s="66">
        <f>TRUNC(14635/16+1.9)</f>
        <v>916</v>
      </c>
      <c r="F205" s="66">
        <v>4</v>
      </c>
      <c r="G205" s="122" t="s">
        <v>65</v>
      </c>
      <c r="H205" s="37">
        <f>0.41+1.5*3</f>
        <v>4.91</v>
      </c>
      <c r="I205" s="55">
        <f t="shared" si="5"/>
        <v>3004.3700800000001</v>
      </c>
      <c r="J205" s="59"/>
      <c r="K205" s="4"/>
      <c r="L205" s="4">
        <f>15031.7813-397.4755</f>
        <v>14634.3058</v>
      </c>
      <c r="M205" s="4"/>
      <c r="N205" s="4"/>
      <c r="O205" s="4"/>
      <c r="P205" s="4"/>
      <c r="Q205" s="4"/>
      <c r="AK205" s="44">
        <f t="shared" si="9"/>
        <v>0.66800000000000004</v>
      </c>
    </row>
    <row r="206" spans="2:37" ht="12.75" customHeight="1">
      <c r="B206" s="26">
        <f t="shared" si="10"/>
        <v>198</v>
      </c>
      <c r="C206" s="31" t="s">
        <v>332</v>
      </c>
      <c r="D206" s="39"/>
      <c r="E206" s="66">
        <f>TRUNC(1920/16+1.9)</f>
        <v>121</v>
      </c>
      <c r="F206" s="66">
        <v>4</v>
      </c>
      <c r="G206" s="122" t="s">
        <v>65</v>
      </c>
      <c r="H206" s="37">
        <f>0.41+0.25+1.5*3</f>
        <v>5.16</v>
      </c>
      <c r="I206" s="55">
        <f t="shared" si="5"/>
        <v>417.07248000000004</v>
      </c>
      <c r="J206" s="59"/>
      <c r="K206" s="4"/>
      <c r="L206" s="4"/>
      <c r="M206" s="4"/>
      <c r="N206" s="4"/>
      <c r="O206" s="4"/>
      <c r="P206" s="4"/>
      <c r="Q206" s="4"/>
      <c r="AK206" s="44">
        <f t="shared" si="9"/>
        <v>0.66800000000000004</v>
      </c>
    </row>
    <row r="207" spans="2:37" ht="12.75" customHeight="1">
      <c r="B207" s="26">
        <f t="shared" si="10"/>
        <v>199</v>
      </c>
      <c r="C207" s="162" t="s">
        <v>498</v>
      </c>
      <c r="D207" s="39"/>
      <c r="E207" s="23"/>
      <c r="F207" s="23"/>
      <c r="G207" s="122"/>
      <c r="H207" s="25"/>
      <c r="I207" s="55">
        <f t="shared" si="5"/>
        <v>0</v>
      </c>
      <c r="J207" s="59"/>
      <c r="L207" s="4"/>
      <c r="M207" s="4"/>
      <c r="N207" s="4"/>
      <c r="O207" s="4"/>
      <c r="P207" s="4"/>
      <c r="Q207" s="4"/>
      <c r="AK207" s="44">
        <f t="shared" si="9"/>
        <v>0</v>
      </c>
    </row>
    <row r="208" spans="2:37" ht="12.75" customHeight="1">
      <c r="B208" s="26">
        <f t="shared" si="10"/>
        <v>200</v>
      </c>
      <c r="C208" s="98" t="s">
        <v>438</v>
      </c>
      <c r="D208" s="53"/>
      <c r="E208" s="53"/>
      <c r="F208" s="53"/>
      <c r="G208" s="122"/>
      <c r="H208" s="154"/>
      <c r="I208" s="55">
        <f t="shared" ref="I208:I271" si="11">IF(D208="",AK208*H208*E208,AK208*H208*E208*D208)</f>
        <v>0</v>
      </c>
      <c r="J208" s="59"/>
      <c r="K208" s="4"/>
      <c r="L208" s="4"/>
      <c r="M208" s="4"/>
      <c r="N208" s="4"/>
      <c r="O208" s="4"/>
      <c r="P208" s="4"/>
      <c r="Q208" s="4"/>
      <c r="AK208" s="44">
        <f t="shared" si="9"/>
        <v>0</v>
      </c>
    </row>
    <row r="209" spans="2:37" ht="12.75" customHeight="1">
      <c r="B209" s="26">
        <f t="shared" si="10"/>
        <v>201</v>
      </c>
      <c r="C209" s="86" t="s">
        <v>97</v>
      </c>
      <c r="D209" s="53"/>
      <c r="E209" s="53">
        <f>TRUNC((6.83-0.083-0.5)/1+1.9)</f>
        <v>8</v>
      </c>
      <c r="F209" s="53">
        <v>5</v>
      </c>
      <c r="G209" s="122" t="s">
        <v>57</v>
      </c>
      <c r="H209" s="154">
        <f>(17.75-0.083)+1.167</f>
        <v>18.834000000000003</v>
      </c>
      <c r="I209" s="55">
        <f t="shared" si="11"/>
        <v>157.15089600000002</v>
      </c>
      <c r="J209" s="59"/>
      <c r="L209" s="4"/>
      <c r="M209" s="4"/>
      <c r="N209" s="4"/>
      <c r="O209" s="4"/>
      <c r="P209" s="4"/>
      <c r="Q209" s="4"/>
      <c r="AK209" s="44">
        <f t="shared" si="9"/>
        <v>1.0429999999999999</v>
      </c>
    </row>
    <row r="210" spans="2:37" ht="12.75" customHeight="1">
      <c r="B210" s="26">
        <f t="shared" si="10"/>
        <v>202</v>
      </c>
      <c r="C210" s="86" t="s">
        <v>439</v>
      </c>
      <c r="D210" s="53"/>
      <c r="E210" s="53">
        <f>TRUNC((7-0.083-0.42)/1+1.9)</f>
        <v>8</v>
      </c>
      <c r="F210" s="53">
        <v>7</v>
      </c>
      <c r="G210" s="122" t="s">
        <v>57</v>
      </c>
      <c r="H210" s="154">
        <f>29.33+1.167*2</f>
        <v>31.663999999999998</v>
      </c>
      <c r="I210" s="55">
        <f t="shared" si="11"/>
        <v>517.76972799999999</v>
      </c>
      <c r="J210" s="59"/>
      <c r="K210" s="4"/>
      <c r="L210" s="4"/>
      <c r="M210" s="4"/>
      <c r="N210" s="4"/>
      <c r="O210" s="4"/>
      <c r="P210" s="4"/>
      <c r="Q210" s="4"/>
      <c r="AK210" s="44">
        <f t="shared" si="9"/>
        <v>2.044</v>
      </c>
    </row>
    <row r="211" spans="2:37" ht="12.75" customHeight="1">
      <c r="B211" s="26">
        <f t="shared" si="10"/>
        <v>203</v>
      </c>
      <c r="C211" s="86" t="s">
        <v>97</v>
      </c>
      <c r="D211" s="53"/>
      <c r="E211" s="53">
        <f>TRUNC((7.416-0.083-0.42)/1+1.9)</f>
        <v>8</v>
      </c>
      <c r="F211" s="53">
        <v>5</v>
      </c>
      <c r="G211" s="122" t="s">
        <v>57</v>
      </c>
      <c r="H211" s="154">
        <f>15.75+1*2</f>
        <v>17.75</v>
      </c>
      <c r="I211" s="55">
        <f t="shared" si="11"/>
        <v>148.10599999999999</v>
      </c>
      <c r="J211" s="59"/>
      <c r="K211" s="4"/>
      <c r="L211" s="4"/>
      <c r="M211" s="4"/>
      <c r="N211" s="4"/>
      <c r="O211" s="4"/>
      <c r="P211" s="4"/>
      <c r="Q211" s="4"/>
      <c r="AK211" s="44">
        <f t="shared" si="9"/>
        <v>1.0429999999999999</v>
      </c>
    </row>
    <row r="212" spans="2:37" ht="12.75" customHeight="1">
      <c r="B212" s="26">
        <f t="shared" si="10"/>
        <v>204</v>
      </c>
      <c r="C212" s="86" t="s">
        <v>443</v>
      </c>
      <c r="D212" s="53"/>
      <c r="E212" s="53">
        <f>TRUNC((7.416-0.083-0.42)/1+1.9)</f>
        <v>8</v>
      </c>
      <c r="F212" s="53">
        <v>6</v>
      </c>
      <c r="G212" s="122" t="s">
        <v>57</v>
      </c>
      <c r="H212" s="154">
        <f>21.167+1*2</f>
        <v>23.167000000000002</v>
      </c>
      <c r="I212" s="55">
        <f t="shared" si="11"/>
        <v>278.37467200000003</v>
      </c>
      <c r="J212" s="59"/>
      <c r="L212" s="4"/>
      <c r="M212" s="4"/>
      <c r="N212" s="4"/>
      <c r="O212" s="4"/>
      <c r="P212" s="4"/>
      <c r="Q212" s="4"/>
      <c r="AK212" s="44">
        <f t="shared" si="9"/>
        <v>1.502</v>
      </c>
    </row>
    <row r="213" spans="2:37" ht="12.75" customHeight="1">
      <c r="B213" s="26">
        <f t="shared" si="10"/>
        <v>205</v>
      </c>
      <c r="C213" s="86" t="s">
        <v>448</v>
      </c>
      <c r="D213" s="53"/>
      <c r="E213" s="53">
        <f>TRUNC((8-0.083-0.5)/0.83+1.9)</f>
        <v>10</v>
      </c>
      <c r="F213" s="53">
        <v>5</v>
      </c>
      <c r="G213" s="122" t="s">
        <v>57</v>
      </c>
      <c r="H213" s="154">
        <f>22.75-0.08+1*2</f>
        <v>24.67</v>
      </c>
      <c r="I213" s="55">
        <f t="shared" si="11"/>
        <v>257.30810000000002</v>
      </c>
      <c r="J213" s="59"/>
      <c r="K213" s="4"/>
      <c r="L213" s="4"/>
      <c r="M213" s="4"/>
      <c r="N213" s="4"/>
      <c r="O213" s="4"/>
      <c r="P213" s="4"/>
      <c r="Q213" s="4"/>
      <c r="AK213" s="44">
        <f t="shared" si="9"/>
        <v>1.0429999999999999</v>
      </c>
    </row>
    <row r="214" spans="2:37" ht="12.75" customHeight="1">
      <c r="B214" s="26">
        <f t="shared" si="10"/>
        <v>206</v>
      </c>
      <c r="C214" s="98" t="s">
        <v>487</v>
      </c>
      <c r="D214" s="53"/>
      <c r="E214" s="53"/>
      <c r="F214" s="53"/>
      <c r="G214" s="122"/>
      <c r="H214" s="154"/>
      <c r="I214" s="55">
        <f t="shared" si="11"/>
        <v>0</v>
      </c>
      <c r="J214" s="59"/>
      <c r="K214" s="4"/>
      <c r="L214" s="4"/>
      <c r="M214" s="4"/>
      <c r="N214" s="4"/>
      <c r="O214" s="4"/>
      <c r="P214" s="4"/>
      <c r="Q214" s="4"/>
      <c r="AK214" s="44">
        <f t="shared" si="9"/>
        <v>0</v>
      </c>
    </row>
    <row r="215" spans="2:37" ht="12.75" customHeight="1">
      <c r="B215" s="26">
        <f t="shared" si="10"/>
        <v>207</v>
      </c>
      <c r="C215" s="86" t="s">
        <v>97</v>
      </c>
      <c r="D215" s="53"/>
      <c r="E215" s="53">
        <f>TRUNC((14.33-1)/1+1.9)</f>
        <v>15</v>
      </c>
      <c r="F215" s="53">
        <v>5</v>
      </c>
      <c r="G215" s="122" t="s">
        <v>57</v>
      </c>
      <c r="H215" s="154">
        <f>16.75-0.08+1</f>
        <v>17.670000000000002</v>
      </c>
      <c r="I215" s="55">
        <f t="shared" si="11"/>
        <v>276.44715000000002</v>
      </c>
      <c r="J215" s="59"/>
      <c r="K215" s="4"/>
      <c r="L215" s="4"/>
      <c r="M215" s="4"/>
      <c r="N215" s="4"/>
      <c r="O215" s="4"/>
      <c r="P215" s="4"/>
      <c r="Q215" s="4"/>
      <c r="AK215" s="44">
        <f t="shared" si="9"/>
        <v>1.0429999999999999</v>
      </c>
    </row>
    <row r="216" spans="2:37" ht="12.75" customHeight="1">
      <c r="B216" s="26">
        <f t="shared" si="10"/>
        <v>208</v>
      </c>
      <c r="C216" s="86" t="s">
        <v>443</v>
      </c>
      <c r="D216" s="53"/>
      <c r="E216" s="53">
        <f>TRUNC((14.5-1)/1+1.9)</f>
        <v>15</v>
      </c>
      <c r="F216" s="53">
        <v>6</v>
      </c>
      <c r="G216" s="122" t="s">
        <v>57</v>
      </c>
      <c r="H216" s="154">
        <f>27.25+1+1</f>
        <v>29.25</v>
      </c>
      <c r="I216" s="55">
        <f t="shared" si="11"/>
        <v>659.00250000000005</v>
      </c>
      <c r="J216" s="59"/>
      <c r="K216" s="4"/>
      <c r="L216" s="4"/>
      <c r="M216" s="4"/>
      <c r="N216" s="4"/>
      <c r="O216" s="4"/>
      <c r="P216" s="4"/>
      <c r="Q216" s="4"/>
      <c r="AK216" s="44">
        <f t="shared" si="9"/>
        <v>1.502</v>
      </c>
    </row>
    <row r="217" spans="2:37" ht="12.75" customHeight="1">
      <c r="B217" s="26">
        <f t="shared" si="10"/>
        <v>209</v>
      </c>
      <c r="C217" s="86" t="s">
        <v>97</v>
      </c>
      <c r="D217" s="53"/>
      <c r="E217" s="53">
        <f>TRUNC((14.83-1)/1+1.9)</f>
        <v>15</v>
      </c>
      <c r="F217" s="53">
        <v>5</v>
      </c>
      <c r="G217" s="122" t="s">
        <v>57</v>
      </c>
      <c r="H217" s="154">
        <f>15.83+1+0.5</f>
        <v>17.329999999999998</v>
      </c>
      <c r="I217" s="55">
        <f t="shared" si="11"/>
        <v>271.12784999999991</v>
      </c>
      <c r="J217" s="59"/>
      <c r="K217" s="4"/>
      <c r="L217" s="4"/>
      <c r="M217" s="4"/>
      <c r="N217" s="4"/>
      <c r="O217" s="4"/>
      <c r="P217" s="4"/>
      <c r="Q217" s="4"/>
      <c r="AK217" s="44">
        <f t="shared" si="9"/>
        <v>1.0429999999999999</v>
      </c>
    </row>
    <row r="218" spans="2:37" ht="12.75" customHeight="1">
      <c r="B218" s="26">
        <f t="shared" si="10"/>
        <v>210</v>
      </c>
      <c r="C218" s="86" t="s">
        <v>443</v>
      </c>
      <c r="D218" s="53"/>
      <c r="E218" s="53">
        <f>TRUNC((15.5-1)/1+1.9)</f>
        <v>16</v>
      </c>
      <c r="F218" s="53">
        <v>6</v>
      </c>
      <c r="G218" s="122" t="s">
        <v>57</v>
      </c>
      <c r="H218" s="154">
        <f>18.58+0.5+0.5</f>
        <v>19.579999999999998</v>
      </c>
      <c r="I218" s="55">
        <f t="shared" si="11"/>
        <v>470.54655999999994</v>
      </c>
      <c r="J218" s="59"/>
      <c r="K218" s="4"/>
      <c r="L218" s="4"/>
      <c r="M218" s="4"/>
      <c r="N218" s="4"/>
      <c r="O218" s="4"/>
      <c r="P218" s="4"/>
      <c r="Q218" s="4"/>
      <c r="AK218" s="44">
        <f t="shared" si="9"/>
        <v>1.502</v>
      </c>
    </row>
    <row r="219" spans="2:37" ht="12.75" customHeight="1">
      <c r="B219" s="26">
        <f t="shared" si="10"/>
        <v>211</v>
      </c>
      <c r="C219" s="86" t="s">
        <v>443</v>
      </c>
      <c r="D219" s="53"/>
      <c r="E219" s="53">
        <f>TRUNC((15.75-1)/1+1.9)</f>
        <v>16</v>
      </c>
      <c r="F219" s="53">
        <v>6</v>
      </c>
      <c r="G219" s="122" t="s">
        <v>57</v>
      </c>
      <c r="H219" s="154">
        <f>29+0.5</f>
        <v>29.5</v>
      </c>
      <c r="I219" s="55">
        <f t="shared" si="11"/>
        <v>708.94399999999996</v>
      </c>
      <c r="J219" s="59"/>
      <c r="K219" s="4"/>
      <c r="L219" s="4"/>
      <c r="M219" s="4"/>
      <c r="N219" s="4"/>
      <c r="O219" s="4"/>
      <c r="P219" s="4"/>
      <c r="Q219" s="4"/>
      <c r="AK219" s="44">
        <f t="shared" si="9"/>
        <v>1.502</v>
      </c>
    </row>
    <row r="220" spans="2:37" ht="12.75" customHeight="1">
      <c r="B220" s="26">
        <f t="shared" si="10"/>
        <v>212</v>
      </c>
      <c r="C220" s="98" t="s">
        <v>499</v>
      </c>
      <c r="D220" s="53"/>
      <c r="E220" s="53"/>
      <c r="F220" s="53"/>
      <c r="G220" s="122"/>
      <c r="H220" s="154"/>
      <c r="I220" s="55">
        <f t="shared" si="11"/>
        <v>0</v>
      </c>
      <c r="J220" s="59"/>
      <c r="K220" s="4"/>
      <c r="M220" s="4"/>
      <c r="N220" s="4"/>
      <c r="O220" s="4"/>
      <c r="P220" s="4"/>
      <c r="Q220" s="4"/>
      <c r="AK220" s="44">
        <f t="shared" si="9"/>
        <v>0</v>
      </c>
    </row>
    <row r="221" spans="2:37" ht="12.75" customHeight="1">
      <c r="B221" s="26">
        <f t="shared" si="10"/>
        <v>213</v>
      </c>
      <c r="C221" s="86" t="s">
        <v>443</v>
      </c>
      <c r="D221" s="53"/>
      <c r="E221" s="53">
        <f>TRUNC((14.33-1)/1+1.9)</f>
        <v>15</v>
      </c>
      <c r="F221" s="53">
        <v>6</v>
      </c>
      <c r="G221" s="122" t="s">
        <v>57</v>
      </c>
      <c r="H221" s="154">
        <f>(17-0.083)+1</f>
        <v>17.917000000000002</v>
      </c>
      <c r="I221" s="55">
        <f t="shared" si="11"/>
        <v>403.67001000000005</v>
      </c>
      <c r="J221" s="59"/>
      <c r="K221" s="4"/>
      <c r="L221" s="4"/>
      <c r="M221" s="4"/>
      <c r="N221" s="4"/>
      <c r="O221" s="4"/>
      <c r="P221" s="4"/>
      <c r="Q221" s="4"/>
      <c r="AK221" s="44">
        <f t="shared" si="9"/>
        <v>1.502</v>
      </c>
    </row>
    <row r="222" spans="2:37" ht="12.75" customHeight="1">
      <c r="B222" s="26">
        <f t="shared" si="10"/>
        <v>214</v>
      </c>
      <c r="C222" s="86" t="s">
        <v>439</v>
      </c>
      <c r="D222" s="53"/>
      <c r="E222" s="53">
        <f>TRUNC((13.5-1)/1+1.9)</f>
        <v>14</v>
      </c>
      <c r="F222" s="53">
        <v>7</v>
      </c>
      <c r="G222" s="122" t="s">
        <v>57</v>
      </c>
      <c r="H222" s="154">
        <f>29.33+1.167*2</f>
        <v>31.663999999999998</v>
      </c>
      <c r="I222" s="55">
        <f t="shared" si="11"/>
        <v>906.09702399999992</v>
      </c>
      <c r="J222" s="59"/>
      <c r="K222" s="4"/>
      <c r="L222" s="4"/>
      <c r="M222" s="4"/>
      <c r="N222" s="4"/>
      <c r="O222" s="4"/>
      <c r="P222" s="4"/>
      <c r="Q222" s="4"/>
      <c r="AK222" s="44">
        <f t="shared" si="9"/>
        <v>2.044</v>
      </c>
    </row>
    <row r="223" spans="2:37" ht="12.75" customHeight="1">
      <c r="B223" s="26">
        <f t="shared" si="10"/>
        <v>215</v>
      </c>
      <c r="C223" s="86" t="s">
        <v>448</v>
      </c>
      <c r="D223" s="53"/>
      <c r="E223" s="53">
        <f>TRUNC((14.33-0.83)/0.83+1.9)</f>
        <v>18</v>
      </c>
      <c r="F223" s="53">
        <v>5</v>
      </c>
      <c r="G223" s="122" t="s">
        <v>57</v>
      </c>
      <c r="H223" s="154">
        <f>17.25+1+1</f>
        <v>19.25</v>
      </c>
      <c r="I223" s="55">
        <f t="shared" si="11"/>
        <v>361.39949999999999</v>
      </c>
      <c r="J223" s="59"/>
      <c r="L223" s="4"/>
      <c r="M223" s="4"/>
      <c r="N223" s="4"/>
      <c r="O223" s="4"/>
      <c r="P223" s="4"/>
      <c r="Q223" s="4"/>
      <c r="AK223" s="44">
        <f t="shared" si="9"/>
        <v>1.0429999999999999</v>
      </c>
    </row>
    <row r="224" spans="2:37" ht="12.75" customHeight="1">
      <c r="B224" s="26">
        <f t="shared" si="10"/>
        <v>216</v>
      </c>
      <c r="C224" s="86" t="s">
        <v>443</v>
      </c>
      <c r="D224" s="53"/>
      <c r="E224" s="53">
        <f>TRUNC((14.33-1)/1+1.9)</f>
        <v>15</v>
      </c>
      <c r="F224" s="53">
        <v>6</v>
      </c>
      <c r="G224" s="122" t="s">
        <v>57</v>
      </c>
      <c r="H224" s="154">
        <f>19.83+1+1</f>
        <v>21.83</v>
      </c>
      <c r="I224" s="55">
        <f t="shared" si="11"/>
        <v>491.82990000000001</v>
      </c>
      <c r="J224" s="59"/>
      <c r="K224" s="4"/>
      <c r="L224" s="4"/>
      <c r="M224" s="4"/>
      <c r="N224" s="4"/>
      <c r="O224" s="4"/>
      <c r="P224" s="4"/>
      <c r="Q224" s="4"/>
      <c r="AK224" s="44">
        <f t="shared" si="9"/>
        <v>1.502</v>
      </c>
    </row>
    <row r="225" spans="2:37" ht="12.75" customHeight="1">
      <c r="B225" s="26">
        <f t="shared" si="10"/>
        <v>217</v>
      </c>
      <c r="C225" s="86" t="s">
        <v>439</v>
      </c>
      <c r="D225" s="39"/>
      <c r="E225" s="53">
        <f>TRUNC((14.33-1)/1+1.9)</f>
        <v>15</v>
      </c>
      <c r="F225" s="139">
        <v>7</v>
      </c>
      <c r="G225" s="122" t="s">
        <v>57</v>
      </c>
      <c r="H225" s="154">
        <f>(23.25-0.083)+1.167</f>
        <v>24.334000000000003</v>
      </c>
      <c r="I225" s="55">
        <f t="shared" si="11"/>
        <v>746.08044000000007</v>
      </c>
      <c r="J225" s="59"/>
      <c r="K225" s="4"/>
      <c r="L225" s="4"/>
      <c r="M225" s="4"/>
      <c r="N225" s="4"/>
      <c r="O225" s="4"/>
      <c r="P225" s="4"/>
      <c r="Q225" s="4"/>
      <c r="AK225" s="44">
        <f t="shared" si="9"/>
        <v>2.044</v>
      </c>
    </row>
    <row r="226" spans="2:37" ht="12.75" customHeight="1">
      <c r="B226" s="26">
        <f t="shared" si="10"/>
        <v>218</v>
      </c>
      <c r="C226" s="98" t="s">
        <v>487</v>
      </c>
      <c r="D226" s="53"/>
      <c r="E226" s="53"/>
      <c r="F226" s="53"/>
      <c r="G226" s="122"/>
      <c r="H226" s="154"/>
      <c r="I226" s="55">
        <f t="shared" si="11"/>
        <v>0</v>
      </c>
      <c r="J226" s="59"/>
      <c r="K226" s="4"/>
      <c r="L226" s="4"/>
      <c r="M226" s="4"/>
      <c r="N226" s="4"/>
      <c r="O226" s="4"/>
      <c r="P226" s="4"/>
      <c r="Q226" s="4"/>
      <c r="AK226" s="44">
        <f t="shared" si="9"/>
        <v>0</v>
      </c>
    </row>
    <row r="227" spans="2:37" ht="12.75" customHeight="1">
      <c r="B227" s="26">
        <f t="shared" si="10"/>
        <v>219</v>
      </c>
      <c r="C227" s="86" t="s">
        <v>97</v>
      </c>
      <c r="D227" s="53"/>
      <c r="E227" s="53">
        <f>TRUNC((14.167-1)/1+1.9)</f>
        <v>15</v>
      </c>
      <c r="F227" s="53">
        <v>5</v>
      </c>
      <c r="G227" s="122" t="s">
        <v>57</v>
      </c>
      <c r="H227" s="154">
        <f>17.83-0.08+1</f>
        <v>18.75</v>
      </c>
      <c r="I227" s="55">
        <f t="shared" si="11"/>
        <v>293.34375</v>
      </c>
      <c r="J227" s="59"/>
      <c r="K227" s="4"/>
      <c r="L227" s="4"/>
      <c r="M227" s="4"/>
      <c r="N227" s="4"/>
      <c r="O227" s="4"/>
      <c r="P227" s="4"/>
      <c r="Q227" s="4"/>
      <c r="AK227" s="44">
        <f t="shared" si="9"/>
        <v>1.0429999999999999</v>
      </c>
    </row>
    <row r="228" spans="2:37" ht="12.75" customHeight="1">
      <c r="B228" s="26">
        <f t="shared" si="10"/>
        <v>220</v>
      </c>
      <c r="C228" s="86" t="s">
        <v>443</v>
      </c>
      <c r="D228" s="53"/>
      <c r="E228" s="53">
        <f>TRUNC((14.167-1)/1+1.9)</f>
        <v>15</v>
      </c>
      <c r="F228" s="53">
        <v>6</v>
      </c>
      <c r="G228" s="122" t="s">
        <v>57</v>
      </c>
      <c r="H228" s="154">
        <f>29.25+1+1</f>
        <v>31.25</v>
      </c>
      <c r="I228" s="55">
        <f t="shared" si="11"/>
        <v>704.0625</v>
      </c>
      <c r="J228" s="59"/>
      <c r="L228" s="4"/>
      <c r="M228" s="4"/>
      <c r="N228" s="4"/>
      <c r="O228" s="4"/>
      <c r="P228" s="4"/>
      <c r="Q228" s="4"/>
      <c r="AK228" s="44">
        <f t="shared" si="9"/>
        <v>1.502</v>
      </c>
    </row>
    <row r="229" spans="2:37" ht="12.75" customHeight="1">
      <c r="B229" s="26">
        <f t="shared" si="10"/>
        <v>221</v>
      </c>
      <c r="C229" s="86" t="s">
        <v>97</v>
      </c>
      <c r="D229" s="53"/>
      <c r="E229" s="53">
        <f>TRUNC((14.167-1)/1+1.9)</f>
        <v>15</v>
      </c>
      <c r="F229" s="53">
        <v>5</v>
      </c>
      <c r="G229" s="122" t="s">
        <v>57</v>
      </c>
      <c r="H229" s="154">
        <f>17.416+1+0.5</f>
        <v>18.916</v>
      </c>
      <c r="I229" s="55">
        <f t="shared" si="11"/>
        <v>295.94082000000003</v>
      </c>
      <c r="J229" s="59"/>
      <c r="K229" s="4"/>
      <c r="L229" s="4"/>
      <c r="M229" s="4"/>
      <c r="N229" s="4"/>
      <c r="O229" s="4"/>
      <c r="P229" s="4"/>
      <c r="Q229" s="4"/>
      <c r="AK229" s="44">
        <f t="shared" si="9"/>
        <v>1.0429999999999999</v>
      </c>
    </row>
    <row r="230" spans="2:37" ht="12.75" customHeight="1">
      <c r="B230" s="26">
        <f t="shared" si="10"/>
        <v>222</v>
      </c>
      <c r="C230" s="86" t="s">
        <v>443</v>
      </c>
      <c r="D230" s="53"/>
      <c r="E230" s="53">
        <f>TRUNC((13.67-1)/1+1.9)</f>
        <v>14</v>
      </c>
      <c r="F230" s="53">
        <v>6</v>
      </c>
      <c r="G230" s="122" t="s">
        <v>57</v>
      </c>
      <c r="H230" s="154">
        <f>19.58+0.5+1</f>
        <v>21.08</v>
      </c>
      <c r="I230" s="55">
        <f t="shared" si="11"/>
        <v>443.27023999999994</v>
      </c>
      <c r="J230" s="59"/>
      <c r="K230" s="4"/>
      <c r="L230" s="4"/>
      <c r="M230" s="4"/>
      <c r="N230" s="4"/>
      <c r="O230" s="4"/>
      <c r="P230" s="4"/>
      <c r="Q230" s="4"/>
      <c r="AK230" s="44">
        <f t="shared" si="9"/>
        <v>1.502</v>
      </c>
    </row>
    <row r="231" spans="2:37" ht="12.75" customHeight="1">
      <c r="B231" s="26">
        <f t="shared" si="10"/>
        <v>223</v>
      </c>
      <c r="C231" s="86" t="s">
        <v>443</v>
      </c>
      <c r="D231" s="53"/>
      <c r="E231" s="53">
        <f>TRUNC((12.75-1)/1+1.9)</f>
        <v>13</v>
      </c>
      <c r="F231" s="53">
        <v>6</v>
      </c>
      <c r="G231" s="122" t="s">
        <v>57</v>
      </c>
      <c r="H231" s="154">
        <f>23.167-0.08+0.5</f>
        <v>23.587000000000003</v>
      </c>
      <c r="I231" s="55">
        <f t="shared" si="11"/>
        <v>460.55976200000003</v>
      </c>
      <c r="J231" s="59"/>
      <c r="K231" s="4"/>
      <c r="L231" s="4"/>
      <c r="M231" s="4"/>
      <c r="N231" s="4"/>
      <c r="O231" s="4"/>
      <c r="P231" s="4"/>
      <c r="Q231" s="4"/>
      <c r="AK231" s="44">
        <f t="shared" si="9"/>
        <v>1.502</v>
      </c>
    </row>
    <row r="232" spans="2:37" ht="12.75" customHeight="1">
      <c r="B232" s="26">
        <f t="shared" si="10"/>
        <v>224</v>
      </c>
      <c r="C232" s="98" t="s">
        <v>500</v>
      </c>
      <c r="D232" s="53"/>
      <c r="E232" s="53"/>
      <c r="F232" s="53"/>
      <c r="G232" s="122"/>
      <c r="H232" s="154"/>
      <c r="I232" s="55">
        <f t="shared" si="11"/>
        <v>0</v>
      </c>
      <c r="J232" s="59"/>
      <c r="K232" s="4"/>
      <c r="L232" s="4"/>
      <c r="M232" s="4"/>
      <c r="N232" s="4"/>
      <c r="O232" s="4"/>
      <c r="P232" s="4"/>
      <c r="Q232" s="4"/>
      <c r="AK232" s="44">
        <f t="shared" si="9"/>
        <v>0</v>
      </c>
    </row>
    <row r="233" spans="2:37" ht="12.75" customHeight="1">
      <c r="B233" s="26">
        <f t="shared" si="10"/>
        <v>225</v>
      </c>
      <c r="C233" s="86" t="s">
        <v>443</v>
      </c>
      <c r="D233" s="53"/>
      <c r="E233" s="53">
        <f>TRUNC((14-1)/1+1.9)</f>
        <v>14</v>
      </c>
      <c r="F233" s="53">
        <v>6</v>
      </c>
      <c r="G233" s="122" t="s">
        <v>57</v>
      </c>
      <c r="H233" s="154">
        <f>(18-0.083)+1</f>
        <v>18.917000000000002</v>
      </c>
      <c r="I233" s="55">
        <f t="shared" si="11"/>
        <v>397.78667600000006</v>
      </c>
      <c r="J233" s="59"/>
      <c r="K233" s="4"/>
      <c r="L233" s="4"/>
      <c r="M233" s="4"/>
      <c r="N233" s="4"/>
      <c r="O233" s="4"/>
      <c r="P233" s="4"/>
      <c r="Q233" s="4"/>
      <c r="AK233" s="44">
        <f t="shared" si="9"/>
        <v>1.502</v>
      </c>
    </row>
    <row r="234" spans="2:37" ht="12.75" customHeight="1">
      <c r="B234" s="26">
        <f t="shared" si="10"/>
        <v>226</v>
      </c>
      <c r="C234" s="86" t="s">
        <v>439</v>
      </c>
      <c r="D234" s="53"/>
      <c r="E234" s="53">
        <f>TRUNC((13-1)/1+1.9)</f>
        <v>13</v>
      </c>
      <c r="F234" s="53">
        <v>7</v>
      </c>
      <c r="G234" s="122" t="s">
        <v>57</v>
      </c>
      <c r="H234" s="154">
        <f>29.33+1.167*2</f>
        <v>31.663999999999998</v>
      </c>
      <c r="I234" s="55">
        <f t="shared" si="11"/>
        <v>841.37580800000001</v>
      </c>
      <c r="J234" s="59"/>
      <c r="K234" s="4"/>
      <c r="L234" s="4"/>
      <c r="M234" s="4"/>
      <c r="N234" s="4"/>
      <c r="O234" s="4"/>
      <c r="P234" s="4"/>
      <c r="Q234" s="4"/>
      <c r="AK234" s="44">
        <f t="shared" si="9"/>
        <v>2.044</v>
      </c>
    </row>
    <row r="235" spans="2:37" ht="12.75" customHeight="1">
      <c r="B235" s="26">
        <f t="shared" si="10"/>
        <v>227</v>
      </c>
      <c r="C235" s="86" t="s">
        <v>448</v>
      </c>
      <c r="D235" s="53"/>
      <c r="E235" s="53">
        <f>TRUNC((12-0.83)/0.83+1.9)</f>
        <v>15</v>
      </c>
      <c r="F235" s="53">
        <v>5</v>
      </c>
      <c r="G235" s="122" t="s">
        <v>57</v>
      </c>
      <c r="H235" s="154">
        <f>17.25+1+1</f>
        <v>19.25</v>
      </c>
      <c r="I235" s="55">
        <f t="shared" si="11"/>
        <v>301.16624999999999</v>
      </c>
      <c r="J235" s="59"/>
      <c r="K235" s="4"/>
      <c r="L235" s="4"/>
      <c r="M235" s="4"/>
      <c r="N235" s="4"/>
      <c r="O235" s="4"/>
      <c r="P235" s="4"/>
      <c r="Q235" s="4"/>
      <c r="AK235" s="44">
        <f t="shared" si="9"/>
        <v>1.0429999999999999</v>
      </c>
    </row>
    <row r="236" spans="2:37" ht="12.75" customHeight="1">
      <c r="B236" s="26">
        <f t="shared" si="10"/>
        <v>228</v>
      </c>
      <c r="C236" s="86" t="s">
        <v>443</v>
      </c>
      <c r="D236" s="53"/>
      <c r="E236" s="53">
        <f>TRUNC((12-1)/1+1.9)</f>
        <v>12</v>
      </c>
      <c r="F236" s="53">
        <v>6</v>
      </c>
      <c r="G236" s="122" t="s">
        <v>57</v>
      </c>
      <c r="H236" s="154">
        <f>19.83+1+1</f>
        <v>21.83</v>
      </c>
      <c r="I236" s="55">
        <f t="shared" si="11"/>
        <v>393.46392000000003</v>
      </c>
      <c r="J236" s="59"/>
      <c r="K236" s="4"/>
      <c r="M236" s="4"/>
      <c r="N236" s="4"/>
      <c r="O236" s="4"/>
      <c r="P236" s="4"/>
      <c r="Q236" s="4"/>
      <c r="AK236" s="44">
        <f t="shared" si="9"/>
        <v>1.502</v>
      </c>
    </row>
    <row r="237" spans="2:37" ht="12.75" customHeight="1">
      <c r="B237" s="26">
        <f t="shared" si="10"/>
        <v>229</v>
      </c>
      <c r="C237" s="86" t="s">
        <v>439</v>
      </c>
      <c r="D237" s="39"/>
      <c r="E237" s="53">
        <f>TRUNC((12-1)/1+1.9)</f>
        <v>12</v>
      </c>
      <c r="F237" s="139">
        <v>7</v>
      </c>
      <c r="G237" s="122" t="s">
        <v>57</v>
      </c>
      <c r="H237" s="154">
        <f>(23.25-0.083)+1.167</f>
        <v>24.334000000000003</v>
      </c>
      <c r="I237" s="55">
        <f t="shared" si="11"/>
        <v>596.86435200000005</v>
      </c>
      <c r="J237" s="59"/>
      <c r="K237" s="4"/>
      <c r="L237" s="4"/>
      <c r="M237" s="4"/>
      <c r="N237" s="4"/>
      <c r="O237" s="4"/>
      <c r="P237" s="4"/>
      <c r="Q237" s="4"/>
      <c r="AK237" s="44">
        <f t="shared" si="9"/>
        <v>2.044</v>
      </c>
    </row>
    <row r="238" spans="2:37" ht="12.75" customHeight="1">
      <c r="B238" s="26">
        <f t="shared" si="10"/>
        <v>230</v>
      </c>
      <c r="C238" s="98" t="s">
        <v>487</v>
      </c>
      <c r="D238" s="53"/>
      <c r="E238" s="53"/>
      <c r="F238" s="53"/>
      <c r="G238" s="122"/>
      <c r="H238" s="154"/>
      <c r="I238" s="55">
        <f t="shared" si="11"/>
        <v>0</v>
      </c>
      <c r="J238" s="59"/>
      <c r="K238" s="4"/>
      <c r="L238" s="4"/>
      <c r="M238" s="4"/>
      <c r="N238" s="4"/>
      <c r="O238" s="4"/>
      <c r="P238" s="4"/>
      <c r="Q238" s="4"/>
      <c r="AK238" s="44">
        <f t="shared" si="9"/>
        <v>0</v>
      </c>
    </row>
    <row r="239" spans="2:37" ht="12.75" customHeight="1">
      <c r="B239" s="26">
        <f t="shared" si="10"/>
        <v>231</v>
      </c>
      <c r="C239" s="86" t="s">
        <v>97</v>
      </c>
      <c r="D239" s="53"/>
      <c r="E239" s="53">
        <f>TRUNC((14-1)/1+1.9)</f>
        <v>14</v>
      </c>
      <c r="F239" s="53">
        <v>5</v>
      </c>
      <c r="G239" s="122" t="s">
        <v>57</v>
      </c>
      <c r="H239" s="154">
        <f>17.83-0.08+1</f>
        <v>18.75</v>
      </c>
      <c r="I239" s="55">
        <f t="shared" si="11"/>
        <v>273.78749999999997</v>
      </c>
      <c r="J239" s="59"/>
      <c r="L239" s="4"/>
      <c r="M239" s="4"/>
      <c r="N239" s="4"/>
      <c r="O239" s="4"/>
      <c r="P239" s="4"/>
      <c r="Q239" s="4"/>
      <c r="AK239" s="44">
        <f t="shared" si="9"/>
        <v>1.0429999999999999</v>
      </c>
    </row>
    <row r="240" spans="2:37" ht="12.75" customHeight="1">
      <c r="B240" s="26">
        <f t="shared" si="10"/>
        <v>232</v>
      </c>
      <c r="C240" s="86" t="s">
        <v>443</v>
      </c>
      <c r="D240" s="53"/>
      <c r="E240" s="53">
        <f>TRUNC((12.5-1)/1+1.9)</f>
        <v>13</v>
      </c>
      <c r="F240" s="53">
        <v>6</v>
      </c>
      <c r="G240" s="122" t="s">
        <v>57</v>
      </c>
      <c r="H240" s="154">
        <f>29.33+1+1</f>
        <v>31.33</v>
      </c>
      <c r="I240" s="55">
        <f t="shared" si="11"/>
        <v>611.74957999999992</v>
      </c>
      <c r="J240" s="59"/>
      <c r="K240" s="4"/>
      <c r="L240" s="4"/>
      <c r="M240" s="4"/>
      <c r="N240" s="4"/>
      <c r="O240" s="4"/>
      <c r="P240" s="4"/>
      <c r="Q240" s="4"/>
      <c r="AK240" s="44">
        <f t="shared" si="9"/>
        <v>1.502</v>
      </c>
    </row>
    <row r="241" spans="2:37" ht="12.75" customHeight="1">
      <c r="B241" s="26">
        <f t="shared" si="10"/>
        <v>233</v>
      </c>
      <c r="C241" s="86" t="s">
        <v>97</v>
      </c>
      <c r="D241" s="53"/>
      <c r="E241" s="53">
        <f>TRUNC((9.83-1)/1+1.9)</f>
        <v>10</v>
      </c>
      <c r="F241" s="53">
        <v>5</v>
      </c>
      <c r="G241" s="122" t="s">
        <v>57</v>
      </c>
      <c r="H241" s="154">
        <f>17.416+1+0.5</f>
        <v>18.916</v>
      </c>
      <c r="I241" s="55">
        <f t="shared" si="11"/>
        <v>197.29388</v>
      </c>
      <c r="J241" s="59"/>
      <c r="K241" s="4"/>
      <c r="L241" s="4"/>
      <c r="M241" s="4"/>
      <c r="N241" s="4"/>
      <c r="O241" s="4"/>
      <c r="P241" s="4"/>
      <c r="Q241" s="4"/>
      <c r="AK241" s="44">
        <f t="shared" si="9"/>
        <v>1.0429999999999999</v>
      </c>
    </row>
    <row r="242" spans="2:37" ht="12.75" customHeight="1">
      <c r="B242" s="26">
        <f t="shared" si="10"/>
        <v>234</v>
      </c>
      <c r="C242" s="86" t="s">
        <v>443</v>
      </c>
      <c r="D242" s="53"/>
      <c r="E242" s="53">
        <f>TRUNC((9.83-1)/1+1.9)</f>
        <v>10</v>
      </c>
      <c r="F242" s="53">
        <v>6</v>
      </c>
      <c r="G242" s="122" t="s">
        <v>57</v>
      </c>
      <c r="H242" s="154">
        <f>19.67+0.5+1</f>
        <v>21.17</v>
      </c>
      <c r="I242" s="55">
        <f t="shared" si="11"/>
        <v>317.97340000000003</v>
      </c>
      <c r="J242" s="59"/>
      <c r="L242" s="4"/>
      <c r="M242" s="4"/>
      <c r="N242" s="4"/>
      <c r="O242" s="4"/>
      <c r="P242" s="4"/>
      <c r="Q242" s="4"/>
      <c r="AK242" s="44">
        <f t="shared" si="9"/>
        <v>1.502</v>
      </c>
    </row>
    <row r="243" spans="2:37" ht="12.75" customHeight="1">
      <c r="B243" s="26">
        <f t="shared" si="10"/>
        <v>235</v>
      </c>
      <c r="C243" s="86" t="s">
        <v>443</v>
      </c>
      <c r="D243" s="53"/>
      <c r="E243" s="53">
        <f>TRUNC((9.83-1)/1+1.9)</f>
        <v>10</v>
      </c>
      <c r="F243" s="53">
        <v>6</v>
      </c>
      <c r="G243" s="122" t="s">
        <v>57</v>
      </c>
      <c r="H243" s="154">
        <f>23.25-0.08+0.5</f>
        <v>23.67</v>
      </c>
      <c r="I243" s="55">
        <f t="shared" si="11"/>
        <v>355.52340000000004</v>
      </c>
      <c r="J243" s="59"/>
      <c r="K243" s="4"/>
      <c r="L243" s="4"/>
      <c r="M243" s="4"/>
      <c r="N243" s="4"/>
      <c r="O243" s="4"/>
      <c r="P243" s="4"/>
      <c r="Q243" s="4"/>
      <c r="AK243" s="44">
        <f t="shared" si="9"/>
        <v>1.502</v>
      </c>
    </row>
    <row r="244" spans="2:37" ht="12.75" customHeight="1">
      <c r="B244" s="26">
        <f t="shared" si="10"/>
        <v>236</v>
      </c>
      <c r="C244" s="98" t="s">
        <v>501</v>
      </c>
      <c r="D244" s="53"/>
      <c r="E244" s="53"/>
      <c r="F244" s="53"/>
      <c r="G244" s="122"/>
      <c r="H244" s="154"/>
      <c r="I244" s="55">
        <f t="shared" si="11"/>
        <v>0</v>
      </c>
      <c r="J244" s="59"/>
      <c r="K244" s="4"/>
      <c r="L244" s="4"/>
      <c r="M244" s="4"/>
      <c r="N244" s="4"/>
      <c r="O244" s="4"/>
      <c r="P244" s="4"/>
      <c r="Q244" s="4"/>
      <c r="AK244" s="44">
        <f t="shared" si="9"/>
        <v>0</v>
      </c>
    </row>
    <row r="245" spans="2:37" ht="12.75" customHeight="1">
      <c r="B245" s="26">
        <f t="shared" si="10"/>
        <v>237</v>
      </c>
      <c r="C245" s="86" t="s">
        <v>443</v>
      </c>
      <c r="D245" s="53"/>
      <c r="E245" s="53">
        <f>TRUNC((11.25-1)/1+1.9)</f>
        <v>12</v>
      </c>
      <c r="F245" s="53">
        <v>6</v>
      </c>
      <c r="G245" s="122" t="s">
        <v>57</v>
      </c>
      <c r="H245" s="154">
        <f>(17.83-0.083)+1</f>
        <v>18.747</v>
      </c>
      <c r="I245" s="55">
        <f t="shared" si="11"/>
        <v>337.89592799999997</v>
      </c>
      <c r="J245" s="59"/>
      <c r="K245" s="4"/>
      <c r="L245" s="4"/>
      <c r="M245" s="4"/>
      <c r="N245" s="4"/>
      <c r="O245" s="4"/>
      <c r="P245" s="4"/>
      <c r="Q245" s="4"/>
      <c r="AK245" s="44">
        <f t="shared" si="9"/>
        <v>1.502</v>
      </c>
    </row>
    <row r="246" spans="2:37" ht="12.75" customHeight="1">
      <c r="B246" s="26">
        <f t="shared" si="10"/>
        <v>238</v>
      </c>
      <c r="C246" s="86" t="s">
        <v>439</v>
      </c>
      <c r="D246" s="53"/>
      <c r="E246" s="53">
        <f>TRUNC((13.83-1)/1+1.9)</f>
        <v>14</v>
      </c>
      <c r="F246" s="53">
        <v>7</v>
      </c>
      <c r="G246" s="122" t="s">
        <v>57</v>
      </c>
      <c r="H246" s="154">
        <f>29.33+1.167*2</f>
        <v>31.663999999999998</v>
      </c>
      <c r="I246" s="55">
        <f t="shared" si="11"/>
        <v>906.09702399999992</v>
      </c>
      <c r="J246" s="59"/>
      <c r="K246" s="4"/>
      <c r="L246" s="4"/>
      <c r="M246" s="4"/>
      <c r="N246" s="4"/>
      <c r="O246" s="4"/>
      <c r="P246" s="4"/>
      <c r="Q246" s="4"/>
      <c r="AK246" s="44">
        <f t="shared" si="9"/>
        <v>2.044</v>
      </c>
    </row>
    <row r="247" spans="2:37" ht="12.75" customHeight="1">
      <c r="B247" s="26">
        <f t="shared" si="10"/>
        <v>239</v>
      </c>
      <c r="C247" s="86" t="s">
        <v>448</v>
      </c>
      <c r="D247" s="53"/>
      <c r="E247" s="53">
        <f>TRUNC((13.25-0.83)/0.83+1.9)</f>
        <v>16</v>
      </c>
      <c r="F247" s="53">
        <v>5</v>
      </c>
      <c r="G247" s="122" t="s">
        <v>57</v>
      </c>
      <c r="H247" s="154">
        <f>17.5+1+1</f>
        <v>19.5</v>
      </c>
      <c r="I247" s="55">
        <f t="shared" si="11"/>
        <v>325.416</v>
      </c>
      <c r="J247" s="59"/>
      <c r="K247" s="4"/>
      <c r="L247" s="4"/>
      <c r="M247" s="4"/>
      <c r="N247" s="4"/>
      <c r="O247" s="4"/>
      <c r="P247" s="4"/>
      <c r="Q247" s="4"/>
      <c r="AK247" s="44">
        <f t="shared" si="9"/>
        <v>1.0429999999999999</v>
      </c>
    </row>
    <row r="248" spans="2:37" ht="12.75" customHeight="1">
      <c r="B248" s="26">
        <f t="shared" si="10"/>
        <v>240</v>
      </c>
      <c r="C248" s="86" t="s">
        <v>443</v>
      </c>
      <c r="D248" s="53"/>
      <c r="E248" s="53">
        <f>TRUNC((14.58-1)/1+1.9)</f>
        <v>15</v>
      </c>
      <c r="F248" s="53">
        <v>6</v>
      </c>
      <c r="G248" s="122" t="s">
        <v>57</v>
      </c>
      <c r="H248" s="154">
        <f>19.67+1+1</f>
        <v>21.67</v>
      </c>
      <c r="I248" s="55">
        <f t="shared" si="11"/>
        <v>488.22510000000005</v>
      </c>
      <c r="J248" s="59"/>
      <c r="K248" s="4"/>
      <c r="L248" s="4"/>
      <c r="M248" s="4"/>
      <c r="N248" s="4"/>
      <c r="O248" s="4"/>
      <c r="P248" s="4"/>
      <c r="Q248" s="4"/>
      <c r="AK248" s="44">
        <f t="shared" si="9"/>
        <v>1.502</v>
      </c>
    </row>
    <row r="249" spans="2:37" ht="12.75" customHeight="1">
      <c r="B249" s="26">
        <f t="shared" si="10"/>
        <v>241</v>
      </c>
      <c r="C249" s="86" t="s">
        <v>439</v>
      </c>
      <c r="D249" s="39"/>
      <c r="E249" s="53">
        <f>TRUNC((15-1)/1+1.9)</f>
        <v>15</v>
      </c>
      <c r="F249" s="139">
        <v>7</v>
      </c>
      <c r="G249" s="122" t="s">
        <v>57</v>
      </c>
      <c r="H249" s="154">
        <f>(23.25-0.083)+1.167</f>
        <v>24.334000000000003</v>
      </c>
      <c r="I249" s="55">
        <f t="shared" si="11"/>
        <v>746.08044000000007</v>
      </c>
      <c r="J249" s="59"/>
      <c r="K249" s="4"/>
      <c r="L249" s="4"/>
      <c r="M249" s="4"/>
      <c r="N249" s="4"/>
      <c r="O249" s="4"/>
      <c r="P249" s="4"/>
      <c r="Q249" s="4"/>
      <c r="AK249" s="44">
        <f t="shared" si="9"/>
        <v>2.044</v>
      </c>
    </row>
    <row r="250" spans="2:37" ht="12.75" customHeight="1">
      <c r="B250" s="26">
        <f t="shared" si="10"/>
        <v>242</v>
      </c>
      <c r="C250" s="98" t="s">
        <v>487</v>
      </c>
      <c r="D250" s="53"/>
      <c r="E250" s="53"/>
      <c r="F250" s="53"/>
      <c r="G250" s="122"/>
      <c r="H250" s="154"/>
      <c r="I250" s="55">
        <f t="shared" si="11"/>
        <v>0</v>
      </c>
      <c r="J250" s="59"/>
      <c r="K250" s="4"/>
      <c r="M250" s="4"/>
      <c r="N250" s="4"/>
      <c r="O250" s="4"/>
      <c r="P250" s="4"/>
      <c r="Q250" s="4"/>
      <c r="AK250" s="44">
        <f t="shared" si="9"/>
        <v>0</v>
      </c>
    </row>
    <row r="251" spans="2:37" ht="12.75" customHeight="1">
      <c r="B251" s="26">
        <f t="shared" si="10"/>
        <v>243</v>
      </c>
      <c r="C251" s="86" t="s">
        <v>97</v>
      </c>
      <c r="D251" s="53"/>
      <c r="E251" s="53">
        <f>TRUNC((14.5-1)/1+1.9)</f>
        <v>15</v>
      </c>
      <c r="F251" s="53">
        <v>5</v>
      </c>
      <c r="G251" s="122" t="s">
        <v>57</v>
      </c>
      <c r="H251" s="154">
        <f>17.83-0.08+1</f>
        <v>18.75</v>
      </c>
      <c r="I251" s="55">
        <f t="shared" si="11"/>
        <v>293.34375</v>
      </c>
      <c r="J251" s="59"/>
      <c r="K251" s="4"/>
      <c r="L251" s="4"/>
      <c r="M251" s="4"/>
      <c r="N251" s="4"/>
      <c r="O251" s="4"/>
      <c r="P251" s="4"/>
      <c r="Q251" s="4"/>
      <c r="AK251" s="44">
        <f t="shared" si="9"/>
        <v>1.0429999999999999</v>
      </c>
    </row>
    <row r="252" spans="2:37" ht="12.75" customHeight="1">
      <c r="B252" s="26">
        <f t="shared" si="10"/>
        <v>244</v>
      </c>
      <c r="C252" s="86" t="s">
        <v>448</v>
      </c>
      <c r="D252" s="53"/>
      <c r="E252" s="53">
        <f>TRUNC((16-1)/0.83+1.9)</f>
        <v>19</v>
      </c>
      <c r="F252" s="53">
        <v>5</v>
      </c>
      <c r="G252" s="122" t="s">
        <v>57</v>
      </c>
      <c r="H252" s="154">
        <f>29.33+1+1</f>
        <v>31.33</v>
      </c>
      <c r="I252" s="55">
        <f t="shared" si="11"/>
        <v>620.86660999999992</v>
      </c>
      <c r="J252" s="59"/>
      <c r="K252" s="4"/>
      <c r="L252" s="4"/>
      <c r="M252" s="4"/>
      <c r="N252" s="4"/>
      <c r="O252" s="4"/>
      <c r="P252" s="4"/>
      <c r="Q252" s="4"/>
      <c r="AK252" s="44">
        <f t="shared" si="9"/>
        <v>1.0429999999999999</v>
      </c>
    </row>
    <row r="253" spans="2:37" ht="12.75" customHeight="1">
      <c r="B253" s="26">
        <f t="shared" si="10"/>
        <v>245</v>
      </c>
      <c r="C253" s="86" t="s">
        <v>97</v>
      </c>
      <c r="D253" s="53"/>
      <c r="E253" s="53">
        <f>TRUNC((16.5-1)/1+1.9)</f>
        <v>17</v>
      </c>
      <c r="F253" s="53">
        <v>5</v>
      </c>
      <c r="G253" s="122" t="s">
        <v>57</v>
      </c>
      <c r="H253" s="154">
        <f>17.416+1+0.5</f>
        <v>18.916</v>
      </c>
      <c r="I253" s="55">
        <f t="shared" si="11"/>
        <v>335.39959599999997</v>
      </c>
      <c r="J253" s="59"/>
      <c r="L253" s="4"/>
      <c r="M253" s="4"/>
      <c r="N253" s="4"/>
      <c r="O253" s="4"/>
      <c r="P253" s="4"/>
      <c r="Q253" s="4"/>
      <c r="AK253" s="44">
        <f t="shared" si="9"/>
        <v>1.0429999999999999</v>
      </c>
    </row>
    <row r="254" spans="2:37" ht="12.75" customHeight="1">
      <c r="B254" s="26">
        <f t="shared" si="10"/>
        <v>246</v>
      </c>
      <c r="C254" s="86" t="s">
        <v>97</v>
      </c>
      <c r="D254" s="53"/>
      <c r="E254" s="53">
        <f>TRUNC((16.67-1)/1+1.9)</f>
        <v>17</v>
      </c>
      <c r="F254" s="53">
        <v>5</v>
      </c>
      <c r="G254" s="122" t="s">
        <v>57</v>
      </c>
      <c r="H254" s="154">
        <f>19.67+0.5+1</f>
        <v>21.17</v>
      </c>
      <c r="I254" s="55">
        <f t="shared" si="11"/>
        <v>375.36527000000001</v>
      </c>
      <c r="J254" s="59"/>
      <c r="K254" s="4"/>
      <c r="L254" s="4"/>
      <c r="M254" s="4"/>
      <c r="N254" s="4"/>
      <c r="O254" s="4"/>
      <c r="P254" s="4"/>
      <c r="Q254" s="4"/>
      <c r="AK254" s="44">
        <f t="shared" si="9"/>
        <v>1.0429999999999999</v>
      </c>
    </row>
    <row r="255" spans="2:37" ht="12.75" customHeight="1">
      <c r="B255" s="26">
        <f t="shared" si="10"/>
        <v>247</v>
      </c>
      <c r="C255" s="86" t="s">
        <v>449</v>
      </c>
      <c r="D255" s="53"/>
      <c r="E255" s="53">
        <f>TRUNC((15.167-1)/0.83+1.9)</f>
        <v>18</v>
      </c>
      <c r="F255" s="53">
        <v>6</v>
      </c>
      <c r="G255" s="122" t="s">
        <v>57</v>
      </c>
      <c r="H255" s="154">
        <f>23.25-0.08+0.5</f>
        <v>23.67</v>
      </c>
      <c r="I255" s="55">
        <f t="shared" si="11"/>
        <v>639.94212000000005</v>
      </c>
      <c r="J255" s="59"/>
      <c r="K255" s="4"/>
      <c r="L255" s="4"/>
      <c r="M255" s="4"/>
      <c r="N255" s="4"/>
      <c r="O255" s="4"/>
      <c r="P255" s="4"/>
      <c r="Q255" s="4"/>
      <c r="AK255" s="44">
        <f t="shared" si="9"/>
        <v>1.502</v>
      </c>
    </row>
    <row r="256" spans="2:37" ht="12.75" customHeight="1">
      <c r="B256" s="26">
        <f t="shared" si="10"/>
        <v>248</v>
      </c>
      <c r="C256" s="98" t="s">
        <v>502</v>
      </c>
      <c r="D256" s="53"/>
      <c r="E256" s="53"/>
      <c r="F256" s="53"/>
      <c r="G256" s="122"/>
      <c r="H256" s="154"/>
      <c r="I256" s="55">
        <f t="shared" si="11"/>
        <v>0</v>
      </c>
      <c r="J256" s="59"/>
      <c r="K256" s="4"/>
      <c r="L256" s="4"/>
      <c r="M256" s="4"/>
      <c r="N256" s="4"/>
      <c r="O256" s="4"/>
      <c r="P256" s="4"/>
      <c r="Q256" s="4"/>
      <c r="AK256" s="44">
        <f t="shared" si="9"/>
        <v>0</v>
      </c>
    </row>
    <row r="257" spans="2:37" ht="12.75" customHeight="1">
      <c r="B257" s="26">
        <f t="shared" si="10"/>
        <v>249</v>
      </c>
      <c r="C257" s="86" t="s">
        <v>97</v>
      </c>
      <c r="D257" s="53"/>
      <c r="E257" s="53">
        <f>TRUNC((7.25-1)/1+1.9)</f>
        <v>8</v>
      </c>
      <c r="F257" s="53">
        <v>5</v>
      </c>
      <c r="G257" s="122" t="s">
        <v>57</v>
      </c>
      <c r="H257" s="154">
        <f>(18-0.083)+1</f>
        <v>18.917000000000002</v>
      </c>
      <c r="I257" s="55">
        <f t="shared" si="11"/>
        <v>157.843448</v>
      </c>
      <c r="J257" s="59"/>
      <c r="K257" s="4"/>
      <c r="L257" s="4"/>
      <c r="M257" s="4"/>
      <c r="N257" s="4"/>
      <c r="O257" s="4"/>
      <c r="P257" s="4"/>
      <c r="Q257" s="4"/>
      <c r="AK257" s="44">
        <f t="shared" si="9"/>
        <v>1.0429999999999999</v>
      </c>
    </row>
    <row r="258" spans="2:37" ht="12.75" customHeight="1">
      <c r="B258" s="26">
        <f t="shared" si="10"/>
        <v>250</v>
      </c>
      <c r="C258" s="86" t="s">
        <v>443</v>
      </c>
      <c r="D258" s="53"/>
      <c r="E258" s="53">
        <f>TRUNC((8-0.5)/1+1.9)</f>
        <v>9</v>
      </c>
      <c r="F258" s="53">
        <v>6</v>
      </c>
      <c r="G258" s="122" t="s">
        <v>57</v>
      </c>
      <c r="H258" s="154">
        <f>25.5+1*2</f>
        <v>27.5</v>
      </c>
      <c r="I258" s="55">
        <f t="shared" si="11"/>
        <v>371.745</v>
      </c>
      <c r="J258" s="59"/>
      <c r="K258" s="4"/>
      <c r="M258" s="4"/>
      <c r="N258" s="4"/>
      <c r="O258" s="4"/>
      <c r="P258" s="4"/>
      <c r="Q258" s="4"/>
      <c r="AK258" s="44">
        <f t="shared" si="9"/>
        <v>1.502</v>
      </c>
    </row>
    <row r="259" spans="2:37" ht="12.75" customHeight="1">
      <c r="B259" s="26">
        <f t="shared" si="10"/>
        <v>251</v>
      </c>
      <c r="C259" s="86" t="s">
        <v>97</v>
      </c>
      <c r="D259" s="53"/>
      <c r="E259" s="53">
        <f>TRUNC((7-0.5)/1+1.9)</f>
        <v>8</v>
      </c>
      <c r="F259" s="53">
        <v>5</v>
      </c>
      <c r="G259" s="122" t="s">
        <v>57</v>
      </c>
      <c r="H259" s="154">
        <f>21.167+1+1</f>
        <v>23.167000000000002</v>
      </c>
      <c r="I259" s="55">
        <f t="shared" si="11"/>
        <v>193.30544800000001</v>
      </c>
      <c r="J259" s="59"/>
      <c r="K259" s="4"/>
      <c r="L259" s="4"/>
      <c r="M259" s="4"/>
      <c r="N259" s="4"/>
      <c r="O259" s="4"/>
      <c r="P259" s="4"/>
      <c r="Q259" s="4"/>
      <c r="AK259" s="44">
        <f t="shared" si="9"/>
        <v>1.0429999999999999</v>
      </c>
    </row>
    <row r="260" spans="2:37" ht="12.75" customHeight="1">
      <c r="B260" s="26">
        <f t="shared" si="10"/>
        <v>252</v>
      </c>
      <c r="C260" s="86" t="s">
        <v>448</v>
      </c>
      <c r="D260" s="53"/>
      <c r="E260" s="53">
        <f>TRUNC((7-0.5)/0.83+1.9)</f>
        <v>9</v>
      </c>
      <c r="F260" s="53">
        <v>5</v>
      </c>
      <c r="G260" s="122" t="s">
        <v>57</v>
      </c>
      <c r="H260" s="154">
        <f>15.25+1+1</f>
        <v>17.25</v>
      </c>
      <c r="I260" s="55">
        <f t="shared" si="11"/>
        <v>161.92574999999999</v>
      </c>
      <c r="J260" s="59"/>
      <c r="K260" s="4"/>
      <c r="L260" s="4"/>
      <c r="M260" s="4"/>
      <c r="N260" s="4"/>
      <c r="O260" s="4"/>
      <c r="P260" s="4"/>
      <c r="Q260" s="4"/>
      <c r="AK260" s="44">
        <f t="shared" si="9"/>
        <v>1.0429999999999999</v>
      </c>
    </row>
    <row r="261" spans="2:37" ht="12.75" customHeight="1">
      <c r="B261" s="26">
        <f t="shared" si="10"/>
        <v>253</v>
      </c>
      <c r="C261" s="86" t="s">
        <v>457</v>
      </c>
      <c r="D261" s="39"/>
      <c r="E261" s="53">
        <f>TRUNC((8.25-1)/0.83+1.9)</f>
        <v>10</v>
      </c>
      <c r="F261" s="139">
        <v>7</v>
      </c>
      <c r="G261" s="122" t="s">
        <v>57</v>
      </c>
      <c r="H261" s="154">
        <f>(27.75-0.083)+1.167</f>
        <v>28.834000000000003</v>
      </c>
      <c r="I261" s="55">
        <f t="shared" si="11"/>
        <v>589.36696000000006</v>
      </c>
      <c r="J261" s="59"/>
      <c r="L261" s="4"/>
      <c r="M261" s="4"/>
      <c r="N261" s="4"/>
      <c r="O261" s="4"/>
      <c r="P261" s="4"/>
      <c r="Q261" s="4"/>
      <c r="AK261" s="44">
        <f t="shared" si="9"/>
        <v>2.044</v>
      </c>
    </row>
    <row r="262" spans="2:37" ht="12.75" customHeight="1">
      <c r="B262" s="26">
        <f t="shared" si="10"/>
        <v>254</v>
      </c>
      <c r="C262" s="98" t="s">
        <v>487</v>
      </c>
      <c r="D262" s="53"/>
      <c r="E262" s="53"/>
      <c r="F262" s="53"/>
      <c r="G262" s="122"/>
      <c r="H262" s="154"/>
      <c r="I262" s="55">
        <f t="shared" si="11"/>
        <v>0</v>
      </c>
      <c r="J262" s="59"/>
      <c r="K262" s="4"/>
      <c r="L262" s="4"/>
      <c r="M262" s="4"/>
      <c r="N262" s="4"/>
      <c r="O262" s="4"/>
      <c r="P262" s="4"/>
      <c r="Q262" s="4"/>
      <c r="AK262" s="44">
        <f t="shared" si="9"/>
        <v>0</v>
      </c>
    </row>
    <row r="263" spans="2:37" ht="12.75" customHeight="1">
      <c r="B263" s="26">
        <f t="shared" si="10"/>
        <v>255</v>
      </c>
      <c r="C263" s="86" t="s">
        <v>97</v>
      </c>
      <c r="D263" s="53"/>
      <c r="E263" s="53">
        <f>TRUNC((13.167-0.5)/1+1.9)</f>
        <v>14</v>
      </c>
      <c r="F263" s="53">
        <v>5</v>
      </c>
      <c r="G263" s="122" t="s">
        <v>57</v>
      </c>
      <c r="H263" s="154">
        <f>17.416-0.08*2</f>
        <v>17.256</v>
      </c>
      <c r="I263" s="55">
        <f t="shared" si="11"/>
        <v>251.97211199999998</v>
      </c>
      <c r="J263" s="59"/>
      <c r="K263" s="4"/>
      <c r="L263" s="4"/>
      <c r="M263" s="4"/>
      <c r="N263" s="4"/>
      <c r="O263" s="4"/>
      <c r="P263" s="4"/>
      <c r="Q263" s="4"/>
      <c r="AK263" s="44">
        <f t="shared" si="9"/>
        <v>1.0429999999999999</v>
      </c>
    </row>
    <row r="264" spans="2:37" ht="12.75" customHeight="1">
      <c r="B264" s="26">
        <f t="shared" si="10"/>
        <v>256</v>
      </c>
      <c r="C264" s="86" t="s">
        <v>97</v>
      </c>
      <c r="D264" s="53"/>
      <c r="E264" s="53">
        <f>TRUNC((19.58-1)/1+1.9)</f>
        <v>20</v>
      </c>
      <c r="F264" s="53">
        <v>5</v>
      </c>
      <c r="G264" s="122" t="s">
        <v>57</v>
      </c>
      <c r="H264" s="154">
        <f>10.75-0.08*2</f>
        <v>10.59</v>
      </c>
      <c r="I264" s="55">
        <f t="shared" si="11"/>
        <v>220.90739999999997</v>
      </c>
      <c r="J264" s="59"/>
      <c r="L264" s="4"/>
      <c r="M264" s="4"/>
      <c r="N264" s="4"/>
      <c r="O264" s="4"/>
      <c r="P264" s="4"/>
      <c r="Q264" s="4"/>
      <c r="AK264" s="44">
        <f t="shared" si="9"/>
        <v>1.0429999999999999</v>
      </c>
    </row>
    <row r="265" spans="2:37" ht="12.75" customHeight="1">
      <c r="B265" s="26">
        <f t="shared" si="10"/>
        <v>257</v>
      </c>
      <c r="C265" s="86" t="s">
        <v>97</v>
      </c>
      <c r="D265" s="53"/>
      <c r="E265" s="53">
        <f>TRUNC((7.67-1)/1+1.9)</f>
        <v>8</v>
      </c>
      <c r="F265" s="53">
        <v>5</v>
      </c>
      <c r="G265" s="122" t="s">
        <v>57</v>
      </c>
      <c r="H265" s="154">
        <f>21.167-0.08*2</f>
        <v>21.007000000000001</v>
      </c>
      <c r="I265" s="55">
        <f t="shared" si="11"/>
        <v>175.282408</v>
      </c>
      <c r="J265" s="59"/>
      <c r="K265" s="4"/>
      <c r="L265" s="4"/>
      <c r="M265" s="4"/>
      <c r="N265" s="4"/>
      <c r="O265" s="4"/>
      <c r="P265" s="4"/>
      <c r="Q265" s="4"/>
      <c r="AK265" s="44">
        <f t="shared" ref="AK265:AK328" si="12">IF(F265="",0,VLOOKUP(F265,$CI$16:$CJ$408,2,FALSE))</f>
        <v>1.0429999999999999</v>
      </c>
    </row>
    <row r="266" spans="2:37" ht="12.75" customHeight="1">
      <c r="B266" s="26">
        <f t="shared" ref="B266:B329" si="13">IF(B265="SL.NO",1,B265+1)</f>
        <v>258</v>
      </c>
      <c r="C266" s="86" t="s">
        <v>451</v>
      </c>
      <c r="D266" s="53"/>
      <c r="E266" s="53">
        <f>TRUNC((14.416-1)/0.83+1.9)</f>
        <v>18</v>
      </c>
      <c r="F266" s="53">
        <v>8</v>
      </c>
      <c r="G266" s="122" t="s">
        <v>57</v>
      </c>
      <c r="H266" s="154">
        <f>34.167-0.08*2</f>
        <v>34.007000000000005</v>
      </c>
      <c r="I266" s="55">
        <f t="shared" si="11"/>
        <v>1634.3764200000001</v>
      </c>
      <c r="J266" s="59"/>
      <c r="K266" s="4"/>
      <c r="L266" s="4"/>
      <c r="M266" s="4"/>
      <c r="N266" s="4"/>
      <c r="O266" s="4"/>
      <c r="P266" s="4"/>
      <c r="Q266" s="4"/>
      <c r="AK266" s="44">
        <f t="shared" si="12"/>
        <v>2.67</v>
      </c>
    </row>
    <row r="267" spans="2:37" ht="12.75" customHeight="1">
      <c r="B267" s="26">
        <f t="shared" si="13"/>
        <v>259</v>
      </c>
      <c r="C267" s="86" t="s">
        <v>503</v>
      </c>
      <c r="D267" s="53"/>
      <c r="E267" s="53">
        <v>4</v>
      </c>
      <c r="F267" s="53">
        <v>8</v>
      </c>
      <c r="G267" s="122" t="s">
        <v>57</v>
      </c>
      <c r="H267" s="154">
        <f>10.75-0.08*2</f>
        <v>10.59</v>
      </c>
      <c r="I267" s="55">
        <f t="shared" si="11"/>
        <v>113.10119999999999</v>
      </c>
      <c r="J267" s="59"/>
      <c r="K267" s="4"/>
      <c r="L267" s="4"/>
      <c r="M267" s="4"/>
      <c r="N267" s="4"/>
      <c r="O267" s="4"/>
      <c r="P267" s="4"/>
      <c r="Q267" s="4"/>
      <c r="AK267" s="44">
        <f t="shared" si="12"/>
        <v>2.67</v>
      </c>
    </row>
    <row r="268" spans="2:37" ht="12.75" customHeight="1">
      <c r="B268" s="26">
        <f t="shared" si="13"/>
        <v>260</v>
      </c>
      <c r="C268" s="98" t="s">
        <v>504</v>
      </c>
      <c r="D268" s="53"/>
      <c r="E268" s="53"/>
      <c r="F268" s="53"/>
      <c r="G268" s="122"/>
      <c r="H268" s="154"/>
      <c r="I268" s="55">
        <f t="shared" si="11"/>
        <v>0</v>
      </c>
      <c r="J268" s="59"/>
      <c r="K268" s="4"/>
      <c r="L268" s="4"/>
      <c r="M268" s="4"/>
      <c r="N268" s="4"/>
      <c r="O268" s="4"/>
      <c r="P268" s="4"/>
      <c r="Q268" s="4"/>
      <c r="AK268" s="44">
        <f t="shared" si="12"/>
        <v>0</v>
      </c>
    </row>
    <row r="269" spans="2:37" ht="12.75" customHeight="1">
      <c r="B269" s="26">
        <f t="shared" si="13"/>
        <v>261</v>
      </c>
      <c r="C269" s="86" t="s">
        <v>97</v>
      </c>
      <c r="D269" s="53"/>
      <c r="E269" s="53">
        <f>TRUNC((19.75-1)/1+1.9)</f>
        <v>20</v>
      </c>
      <c r="F269" s="53">
        <v>5</v>
      </c>
      <c r="G269" s="122" t="s">
        <v>57</v>
      </c>
      <c r="H269" s="154">
        <f>29.5-0.08*2</f>
        <v>29.34</v>
      </c>
      <c r="I269" s="55">
        <f t="shared" si="11"/>
        <v>612.03239999999994</v>
      </c>
      <c r="J269" s="59"/>
      <c r="K269" s="4"/>
      <c r="L269" s="4"/>
      <c r="M269" s="4"/>
      <c r="N269" s="4"/>
      <c r="O269" s="4"/>
      <c r="P269" s="4"/>
      <c r="Q269" s="4"/>
      <c r="AK269" s="44">
        <f t="shared" si="12"/>
        <v>1.0429999999999999</v>
      </c>
    </row>
    <row r="270" spans="2:37" ht="12.75" customHeight="1">
      <c r="B270" s="26">
        <f t="shared" si="13"/>
        <v>262</v>
      </c>
      <c r="C270" s="86" t="s">
        <v>451</v>
      </c>
      <c r="D270" s="53"/>
      <c r="E270" s="53">
        <f>TRUNC((16.67)/0.83+1.9)</f>
        <v>21</v>
      </c>
      <c r="F270" s="53">
        <v>8</v>
      </c>
      <c r="G270" s="122" t="s">
        <v>57</v>
      </c>
      <c r="H270" s="154">
        <f>28.25-0.08*2</f>
        <v>28.09</v>
      </c>
      <c r="I270" s="55">
        <f t="shared" si="11"/>
        <v>1575.0063</v>
      </c>
      <c r="J270" s="59"/>
      <c r="K270" s="4"/>
      <c r="L270" s="4"/>
      <c r="M270" s="4"/>
      <c r="N270" s="4"/>
      <c r="O270" s="4"/>
      <c r="P270" s="4"/>
      <c r="Q270" s="4"/>
      <c r="AK270" s="44">
        <f t="shared" si="12"/>
        <v>2.67</v>
      </c>
    </row>
    <row r="271" spans="2:37" ht="12.75" customHeight="1">
      <c r="B271" s="26">
        <f t="shared" si="13"/>
        <v>263</v>
      </c>
      <c r="C271" s="86" t="s">
        <v>97</v>
      </c>
      <c r="D271" s="53"/>
      <c r="E271" s="53">
        <f>TRUNC((4.167)/1+1.9)</f>
        <v>6</v>
      </c>
      <c r="F271" s="53">
        <v>5</v>
      </c>
      <c r="G271" s="122" t="s">
        <v>57</v>
      </c>
      <c r="H271" s="154">
        <f>8.75-0.08*2</f>
        <v>8.59</v>
      </c>
      <c r="I271" s="55">
        <f t="shared" si="11"/>
        <v>53.756219999999999</v>
      </c>
      <c r="J271" s="59"/>
      <c r="K271" s="4"/>
      <c r="L271" s="4"/>
      <c r="M271" s="4"/>
      <c r="N271" s="4"/>
      <c r="O271" s="4"/>
      <c r="P271" s="4"/>
      <c r="Q271" s="4"/>
      <c r="AK271" s="44">
        <f t="shared" si="12"/>
        <v>1.0429999999999999</v>
      </c>
    </row>
    <row r="272" spans="2:37" ht="12.75" customHeight="1">
      <c r="B272" s="26">
        <f t="shared" si="13"/>
        <v>264</v>
      </c>
      <c r="C272" s="162" t="s">
        <v>505</v>
      </c>
      <c r="D272" s="39"/>
      <c r="E272" s="53"/>
      <c r="F272" s="139"/>
      <c r="G272" s="122"/>
      <c r="H272" s="154"/>
      <c r="I272" s="55">
        <f t="shared" ref="I272:I335" si="14">IF(D272="",AK272*H272*E272,AK272*H272*E272*D272)</f>
        <v>0</v>
      </c>
      <c r="J272" s="59"/>
      <c r="K272" s="4"/>
      <c r="M272" s="4"/>
      <c r="N272" s="4"/>
      <c r="O272" s="4"/>
      <c r="P272" s="4"/>
      <c r="Q272" s="4"/>
      <c r="AK272" s="44">
        <f t="shared" si="12"/>
        <v>0</v>
      </c>
    </row>
    <row r="273" spans="2:37" ht="12.75" customHeight="1">
      <c r="B273" s="26">
        <f t="shared" si="13"/>
        <v>265</v>
      </c>
      <c r="C273" s="98" t="s">
        <v>506</v>
      </c>
      <c r="D273" s="39"/>
      <c r="E273" s="82"/>
      <c r="F273" s="139"/>
      <c r="G273" s="122"/>
      <c r="H273" s="27"/>
      <c r="I273" s="55">
        <f t="shared" si="14"/>
        <v>0</v>
      </c>
      <c r="J273" s="59"/>
      <c r="K273" s="4"/>
      <c r="L273" s="4"/>
      <c r="M273" s="4"/>
      <c r="N273" s="4"/>
      <c r="O273" s="4"/>
      <c r="P273" s="4"/>
      <c r="Q273" s="4"/>
      <c r="AK273" s="44">
        <f t="shared" si="12"/>
        <v>0</v>
      </c>
    </row>
    <row r="274" spans="2:37" ht="12.75" customHeight="1">
      <c r="B274" s="26">
        <f t="shared" si="13"/>
        <v>266</v>
      </c>
      <c r="C274" s="86" t="s">
        <v>459</v>
      </c>
      <c r="D274" s="39"/>
      <c r="E274" s="53">
        <f>TRUNC((18.5-0.08)/1+1.9)</f>
        <v>20</v>
      </c>
      <c r="F274" s="53">
        <v>9</v>
      </c>
      <c r="G274" s="122" t="s">
        <v>57</v>
      </c>
      <c r="H274" s="154">
        <f>(23.25-0.083)+1.75</f>
        <v>24.917000000000002</v>
      </c>
      <c r="I274" s="55">
        <f t="shared" si="14"/>
        <v>1694.356</v>
      </c>
      <c r="J274" s="59"/>
      <c r="K274" s="4"/>
      <c r="L274" s="4"/>
      <c r="M274" s="4"/>
      <c r="N274" s="4"/>
      <c r="O274" s="4"/>
      <c r="P274" s="4"/>
      <c r="Q274" s="4"/>
      <c r="AK274" s="44">
        <f t="shared" si="12"/>
        <v>3.4</v>
      </c>
    </row>
    <row r="275" spans="2:37" ht="12.75" customHeight="1">
      <c r="B275" s="26">
        <f t="shared" si="13"/>
        <v>267</v>
      </c>
      <c r="C275" s="86" t="s">
        <v>440</v>
      </c>
      <c r="D275" s="39"/>
      <c r="E275" s="53">
        <f>TRUNC((18.5-0.08)/1+1.9)</f>
        <v>20</v>
      </c>
      <c r="F275" s="53">
        <v>8</v>
      </c>
      <c r="G275" s="122" t="s">
        <v>57</v>
      </c>
      <c r="H275" s="154">
        <f>21.167+1.416*2</f>
        <v>23.999000000000002</v>
      </c>
      <c r="I275" s="55">
        <f t="shared" si="14"/>
        <v>1281.5466000000001</v>
      </c>
      <c r="J275" s="59"/>
      <c r="K275" s="4"/>
      <c r="L275" s="4"/>
      <c r="M275" s="4"/>
      <c r="N275" s="4"/>
      <c r="O275" s="4"/>
      <c r="P275" s="4"/>
      <c r="Q275" s="4"/>
      <c r="AK275" s="44">
        <f t="shared" si="12"/>
        <v>2.67</v>
      </c>
    </row>
    <row r="276" spans="2:37" ht="12.75" customHeight="1">
      <c r="B276" s="26">
        <f t="shared" si="13"/>
        <v>268</v>
      </c>
      <c r="C276" s="86" t="s">
        <v>443</v>
      </c>
      <c r="D276" s="39"/>
      <c r="E276" s="53">
        <f>TRUNC((11.416-0.08)/1+1.9)</f>
        <v>13</v>
      </c>
      <c r="F276" s="53">
        <v>6</v>
      </c>
      <c r="G276" s="122" t="s">
        <v>57</v>
      </c>
      <c r="H276" s="154">
        <f>16+1*2</f>
        <v>18</v>
      </c>
      <c r="I276" s="55">
        <f t="shared" si="14"/>
        <v>351.46800000000002</v>
      </c>
      <c r="J276" s="59"/>
      <c r="L276" s="4"/>
      <c r="M276" s="4"/>
      <c r="N276" s="4"/>
      <c r="O276" s="4"/>
      <c r="P276" s="4"/>
      <c r="Q276" s="4"/>
      <c r="AK276" s="44">
        <f t="shared" si="12"/>
        <v>1.502</v>
      </c>
    </row>
    <row r="277" spans="2:37" ht="12.75" customHeight="1">
      <c r="B277" s="26">
        <f t="shared" si="13"/>
        <v>269</v>
      </c>
      <c r="C277" s="86" t="s">
        <v>459</v>
      </c>
      <c r="D277" s="39"/>
      <c r="E277" s="53">
        <f>TRUNC((7.67-0.08)/1+1.9)</f>
        <v>9</v>
      </c>
      <c r="F277" s="53">
        <v>9</v>
      </c>
      <c r="G277" s="122" t="s">
        <v>57</v>
      </c>
      <c r="H277" s="154">
        <f>29.167+1.75</f>
        <v>30.917000000000002</v>
      </c>
      <c r="I277" s="55">
        <f t="shared" si="14"/>
        <v>946.06020000000001</v>
      </c>
      <c r="J277" s="59"/>
      <c r="K277" s="4"/>
      <c r="L277" s="4"/>
      <c r="M277" s="4"/>
      <c r="N277" s="4"/>
      <c r="O277" s="4"/>
      <c r="P277" s="4"/>
      <c r="Q277" s="4"/>
      <c r="AK277" s="44">
        <f t="shared" si="12"/>
        <v>3.4</v>
      </c>
    </row>
    <row r="278" spans="2:37" ht="12.75" customHeight="1">
      <c r="B278" s="26">
        <f t="shared" si="13"/>
        <v>270</v>
      </c>
      <c r="C278" s="86" t="s">
        <v>97</v>
      </c>
      <c r="D278" s="39"/>
      <c r="E278" s="53">
        <f>TRUNC((7.67-0.08)/1+1.9)</f>
        <v>9</v>
      </c>
      <c r="F278" s="139">
        <v>5</v>
      </c>
      <c r="G278" s="122" t="s">
        <v>57</v>
      </c>
      <c r="H278" s="154">
        <f>5.5-0.8+1</f>
        <v>5.7</v>
      </c>
      <c r="I278" s="55">
        <f t="shared" si="14"/>
        <v>53.505899999999997</v>
      </c>
      <c r="J278" s="59"/>
      <c r="K278" s="4"/>
      <c r="L278" s="4"/>
      <c r="M278" s="4"/>
      <c r="N278" s="4"/>
      <c r="O278" s="4"/>
      <c r="P278" s="4"/>
      <c r="Q278" s="4"/>
      <c r="AK278" s="44">
        <f t="shared" si="12"/>
        <v>1.0429999999999999</v>
      </c>
    </row>
    <row r="279" spans="2:37" ht="12.75" customHeight="1">
      <c r="B279" s="26">
        <f t="shared" si="13"/>
        <v>271</v>
      </c>
      <c r="C279" s="98" t="s">
        <v>487</v>
      </c>
      <c r="D279" s="39"/>
      <c r="E279" s="82"/>
      <c r="F279" s="139"/>
      <c r="G279" s="122"/>
      <c r="H279" s="27"/>
      <c r="I279" s="55">
        <f t="shared" si="14"/>
        <v>0</v>
      </c>
      <c r="J279" s="59"/>
      <c r="L279" s="4"/>
      <c r="M279" s="4"/>
      <c r="N279" s="4"/>
      <c r="O279" s="4"/>
      <c r="P279" s="4"/>
      <c r="Q279" s="4"/>
      <c r="AK279" s="44">
        <f t="shared" si="12"/>
        <v>0</v>
      </c>
    </row>
    <row r="280" spans="2:37" ht="12.75" customHeight="1">
      <c r="B280" s="26">
        <f t="shared" si="13"/>
        <v>272</v>
      </c>
      <c r="C280" s="86" t="s">
        <v>97</v>
      </c>
      <c r="D280" s="53"/>
      <c r="E280" s="53">
        <f>TRUNC((7)/1+1.9)</f>
        <v>8</v>
      </c>
      <c r="F280" s="53">
        <v>5</v>
      </c>
      <c r="G280" s="122" t="s">
        <v>57</v>
      </c>
      <c r="H280" s="154">
        <f>5.33-0.08+1</f>
        <v>6.25</v>
      </c>
      <c r="I280" s="55">
        <f t="shared" si="14"/>
        <v>52.15</v>
      </c>
      <c r="J280" s="59"/>
      <c r="K280" s="4"/>
      <c r="L280" s="4"/>
      <c r="M280" s="4"/>
      <c r="N280" s="4"/>
      <c r="O280" s="4"/>
      <c r="P280" s="4"/>
      <c r="Q280" s="4"/>
      <c r="AK280" s="44">
        <f t="shared" si="12"/>
        <v>1.0429999999999999</v>
      </c>
    </row>
    <row r="281" spans="2:37" ht="12.75" customHeight="1">
      <c r="B281" s="26">
        <f t="shared" si="13"/>
        <v>273</v>
      </c>
      <c r="C281" s="86" t="s">
        <v>439</v>
      </c>
      <c r="D281" s="53"/>
      <c r="E281" s="53">
        <f>TRUNC((7)/1+1.9)</f>
        <v>8</v>
      </c>
      <c r="F281" s="53">
        <v>7</v>
      </c>
      <c r="G281" s="122" t="s">
        <v>57</v>
      </c>
      <c r="H281" s="154">
        <f>28.58+1.167*2</f>
        <v>30.913999999999998</v>
      </c>
      <c r="I281" s="55">
        <f t="shared" si="14"/>
        <v>505.50572799999998</v>
      </c>
      <c r="J281" s="59"/>
      <c r="K281" s="4"/>
      <c r="L281" s="4"/>
      <c r="M281" s="4"/>
      <c r="N281" s="4"/>
      <c r="O281" s="4"/>
      <c r="P281" s="4"/>
      <c r="Q281" s="4"/>
      <c r="AK281" s="44">
        <f t="shared" si="12"/>
        <v>2.044</v>
      </c>
    </row>
    <row r="282" spans="2:37" ht="12.75" customHeight="1">
      <c r="B282" s="26">
        <f t="shared" si="13"/>
        <v>274</v>
      </c>
      <c r="C282" s="86" t="s">
        <v>97</v>
      </c>
      <c r="D282" s="53"/>
      <c r="E282" s="53">
        <f>TRUNC((7)/1+1.9)</f>
        <v>8</v>
      </c>
      <c r="F282" s="53">
        <v>5</v>
      </c>
      <c r="G282" s="122" t="s">
        <v>57</v>
      </c>
      <c r="H282" s="154">
        <f>9-0.08+1.167</f>
        <v>10.087</v>
      </c>
      <c r="I282" s="55">
        <f t="shared" si="14"/>
        <v>84.165927999999994</v>
      </c>
      <c r="J282" s="59"/>
      <c r="K282" s="4"/>
      <c r="L282" s="4"/>
      <c r="M282" s="4"/>
      <c r="N282" s="4"/>
      <c r="O282" s="4"/>
      <c r="P282" s="4"/>
      <c r="Q282" s="4"/>
      <c r="AK282" s="44">
        <f t="shared" si="12"/>
        <v>1.0429999999999999</v>
      </c>
    </row>
    <row r="283" spans="2:37" ht="12.75" customHeight="1">
      <c r="B283" s="26">
        <f t="shared" si="13"/>
        <v>275</v>
      </c>
      <c r="C283" s="98" t="s">
        <v>280</v>
      </c>
      <c r="D283" s="39"/>
      <c r="E283" s="82"/>
      <c r="F283" s="139"/>
      <c r="G283" s="122"/>
      <c r="H283" s="27"/>
      <c r="I283" s="55">
        <f t="shared" si="14"/>
        <v>0</v>
      </c>
      <c r="J283" s="59"/>
      <c r="K283" s="4"/>
      <c r="L283" s="4"/>
      <c r="M283" s="4"/>
      <c r="N283" s="4"/>
      <c r="O283" s="4"/>
      <c r="P283" s="4"/>
      <c r="Q283" s="4"/>
      <c r="AK283" s="44">
        <f t="shared" si="12"/>
        <v>0</v>
      </c>
    </row>
    <row r="284" spans="2:37" ht="12.75" customHeight="1">
      <c r="B284" s="26">
        <f t="shared" si="13"/>
        <v>276</v>
      </c>
      <c r="C284" s="86" t="s">
        <v>97</v>
      </c>
      <c r="D284" s="53"/>
      <c r="E284" s="53">
        <f>TRUNC((5.167)/1+1.9)</f>
        <v>7</v>
      </c>
      <c r="F284" s="53">
        <v>5</v>
      </c>
      <c r="G284" s="122" t="s">
        <v>57</v>
      </c>
      <c r="H284" s="154">
        <f>5.33-0.08+1</f>
        <v>6.25</v>
      </c>
      <c r="I284" s="55">
        <f t="shared" si="14"/>
        <v>45.631250000000001</v>
      </c>
      <c r="J284" s="59"/>
      <c r="K284" s="4"/>
      <c r="L284" s="4"/>
      <c r="M284" s="4"/>
      <c r="N284" s="4"/>
      <c r="O284" s="4"/>
      <c r="P284" s="4"/>
      <c r="Q284" s="4"/>
      <c r="AK284" s="44">
        <f t="shared" si="12"/>
        <v>1.0429999999999999</v>
      </c>
    </row>
    <row r="285" spans="2:37" ht="12.75" customHeight="1">
      <c r="B285" s="26">
        <f t="shared" si="13"/>
        <v>277</v>
      </c>
      <c r="C285" s="86" t="s">
        <v>440</v>
      </c>
      <c r="D285" s="53"/>
      <c r="E285" s="53">
        <f>TRUNC((5.167)/1+1.9)</f>
        <v>7</v>
      </c>
      <c r="F285" s="53">
        <v>8</v>
      </c>
      <c r="G285" s="122" t="s">
        <v>57</v>
      </c>
      <c r="H285" s="154">
        <f>28.58+1.416*2</f>
        <v>31.411999999999999</v>
      </c>
      <c r="I285" s="55">
        <f t="shared" si="14"/>
        <v>587.09027999999989</v>
      </c>
      <c r="J285" s="59"/>
      <c r="K285" s="4"/>
      <c r="L285" s="4"/>
      <c r="M285" s="4"/>
      <c r="N285" s="4"/>
      <c r="O285" s="4"/>
      <c r="P285" s="4"/>
      <c r="Q285" s="4"/>
      <c r="AK285" s="44">
        <f t="shared" si="12"/>
        <v>2.67</v>
      </c>
    </row>
    <row r="286" spans="2:37" ht="12.75" customHeight="1">
      <c r="B286" s="26">
        <f t="shared" si="13"/>
        <v>278</v>
      </c>
      <c r="C286" s="86" t="s">
        <v>97</v>
      </c>
      <c r="D286" s="53"/>
      <c r="E286" s="53">
        <f>TRUNC((5.167)/1+1.9)</f>
        <v>7</v>
      </c>
      <c r="F286" s="53">
        <v>5</v>
      </c>
      <c r="G286" s="122" t="s">
        <v>57</v>
      </c>
      <c r="H286" s="154">
        <f>9-0.08+1.167</f>
        <v>10.087</v>
      </c>
      <c r="I286" s="55">
        <f t="shared" si="14"/>
        <v>73.645186999999993</v>
      </c>
      <c r="J286" s="59"/>
      <c r="K286" s="4"/>
      <c r="L286" s="4"/>
      <c r="M286" s="4"/>
      <c r="N286" s="4"/>
      <c r="O286" s="4"/>
      <c r="P286" s="4"/>
      <c r="Q286" s="4"/>
      <c r="AK286" s="44">
        <f t="shared" si="12"/>
        <v>1.0429999999999999</v>
      </c>
    </row>
    <row r="287" spans="2:37" ht="12.75" customHeight="1">
      <c r="B287" s="26">
        <f t="shared" si="13"/>
        <v>279</v>
      </c>
      <c r="C287" s="162" t="s">
        <v>507</v>
      </c>
      <c r="D287" s="39"/>
      <c r="E287" s="82"/>
      <c r="F287" s="139"/>
      <c r="G287" s="122"/>
      <c r="H287" s="27"/>
      <c r="I287" s="55">
        <f t="shared" si="14"/>
        <v>0</v>
      </c>
      <c r="J287" s="59"/>
      <c r="K287" s="4"/>
      <c r="M287" s="4"/>
      <c r="N287" s="4"/>
      <c r="O287" s="4"/>
      <c r="P287" s="4"/>
      <c r="Q287" s="4"/>
      <c r="AK287" s="44">
        <f t="shared" si="12"/>
        <v>0</v>
      </c>
    </row>
    <row r="288" spans="2:37" ht="12.75" customHeight="1">
      <c r="B288" s="26">
        <f t="shared" si="13"/>
        <v>280</v>
      </c>
      <c r="C288" s="98" t="s">
        <v>438</v>
      </c>
      <c r="D288" s="53"/>
      <c r="E288" s="53"/>
      <c r="F288" s="53"/>
      <c r="G288" s="122"/>
      <c r="H288" s="154"/>
      <c r="I288" s="55">
        <f t="shared" si="14"/>
        <v>0</v>
      </c>
      <c r="J288" s="59"/>
      <c r="K288" s="4"/>
      <c r="L288" s="4"/>
      <c r="M288" s="4"/>
      <c r="N288" s="4"/>
      <c r="O288" s="4"/>
      <c r="P288" s="4"/>
      <c r="Q288" s="4"/>
      <c r="AK288" s="44">
        <f t="shared" si="12"/>
        <v>0</v>
      </c>
    </row>
    <row r="289" spans="2:37" ht="12.75" customHeight="1">
      <c r="B289" s="26">
        <f t="shared" si="13"/>
        <v>281</v>
      </c>
      <c r="C289" s="86" t="s">
        <v>470</v>
      </c>
      <c r="D289" s="53"/>
      <c r="E289" s="53">
        <f>TRUNC((6.67-0.083-0.5)/1+1.9)</f>
        <v>7</v>
      </c>
      <c r="F289" s="53">
        <v>5</v>
      </c>
      <c r="G289" s="122" t="s">
        <v>57</v>
      </c>
      <c r="H289" s="154">
        <f>0.35*17.67</f>
        <v>6.1844999999999999</v>
      </c>
      <c r="I289" s="55">
        <f t="shared" si="14"/>
        <v>45.15303449999999</v>
      </c>
      <c r="J289" s="59"/>
      <c r="K289" s="4"/>
      <c r="L289" s="4"/>
      <c r="M289" s="4"/>
      <c r="N289" s="4"/>
      <c r="O289" s="4"/>
      <c r="P289" s="4"/>
      <c r="Q289" s="4"/>
      <c r="AK289" s="44">
        <f t="shared" si="12"/>
        <v>1.0429999999999999</v>
      </c>
    </row>
    <row r="290" spans="2:37" ht="12.75" customHeight="1">
      <c r="B290" s="26">
        <f t="shared" si="13"/>
        <v>282</v>
      </c>
      <c r="C290" s="86" t="s">
        <v>472</v>
      </c>
      <c r="D290" s="53"/>
      <c r="E290" s="53">
        <f>TRUNC((6.75-0.083-0.5)/1+1.9)</f>
        <v>8</v>
      </c>
      <c r="F290" s="53">
        <v>9</v>
      </c>
      <c r="G290" s="122" t="s">
        <v>57</v>
      </c>
      <c r="H290" s="154">
        <f>0.35*29.33</f>
        <v>10.265499999999999</v>
      </c>
      <c r="I290" s="55">
        <f t="shared" si="14"/>
        <v>279.22159999999997</v>
      </c>
      <c r="J290" s="59"/>
      <c r="L290" s="4"/>
      <c r="M290" s="4"/>
      <c r="N290" s="4"/>
      <c r="O290" s="4"/>
      <c r="P290" s="4"/>
      <c r="Q290" s="4"/>
      <c r="AK290" s="44">
        <f t="shared" si="12"/>
        <v>3.4</v>
      </c>
    </row>
    <row r="291" spans="2:37" ht="12.75" customHeight="1">
      <c r="B291" s="26">
        <f t="shared" si="13"/>
        <v>283</v>
      </c>
      <c r="C291" s="86" t="s">
        <v>472</v>
      </c>
      <c r="D291" s="53"/>
      <c r="E291" s="53">
        <f>TRUNC((7.167-0.083-0.5)/1+1.9)</f>
        <v>8</v>
      </c>
      <c r="F291" s="53">
        <v>9</v>
      </c>
      <c r="G291" s="122" t="s">
        <v>57</v>
      </c>
      <c r="H291" s="154">
        <f>0.35*29.33</f>
        <v>10.265499999999999</v>
      </c>
      <c r="I291" s="55">
        <f t="shared" si="14"/>
        <v>279.22159999999997</v>
      </c>
      <c r="J291" s="59"/>
      <c r="K291" s="4"/>
      <c r="L291" s="4"/>
      <c r="M291" s="4"/>
      <c r="N291" s="4"/>
      <c r="O291" s="4"/>
      <c r="P291" s="4"/>
      <c r="Q291" s="4"/>
      <c r="AK291" s="44">
        <f t="shared" si="12"/>
        <v>3.4</v>
      </c>
    </row>
    <row r="292" spans="2:37" ht="12.75" customHeight="1">
      <c r="B292" s="26">
        <f t="shared" si="13"/>
        <v>284</v>
      </c>
      <c r="C292" s="86" t="s">
        <v>508</v>
      </c>
      <c r="D292" s="53"/>
      <c r="E292" s="53">
        <f>TRUNC((8-0.083-0.5)/1+1.9)</f>
        <v>9</v>
      </c>
      <c r="F292" s="53">
        <v>8</v>
      </c>
      <c r="G292" s="122" t="s">
        <v>57</v>
      </c>
      <c r="H292" s="154">
        <f>0.35*21.167</f>
        <v>7.4084500000000002</v>
      </c>
      <c r="I292" s="55">
        <f t="shared" si="14"/>
        <v>178.02505350000001</v>
      </c>
      <c r="J292" s="59"/>
      <c r="K292" s="4"/>
      <c r="L292" s="4"/>
      <c r="M292" s="4"/>
      <c r="N292" s="4"/>
      <c r="O292" s="4"/>
      <c r="P292" s="4"/>
      <c r="Q292" s="4"/>
      <c r="AK292" s="44">
        <f t="shared" si="12"/>
        <v>2.67</v>
      </c>
    </row>
    <row r="293" spans="2:37" ht="12.75" customHeight="1">
      <c r="B293" s="26">
        <f t="shared" si="13"/>
        <v>285</v>
      </c>
      <c r="C293" s="86" t="s">
        <v>470</v>
      </c>
      <c r="D293" s="39"/>
      <c r="E293" s="53">
        <f>TRUNC((8-0.083-0.42)/1+1.9)</f>
        <v>9</v>
      </c>
      <c r="F293" s="139">
        <v>5</v>
      </c>
      <c r="G293" s="122" t="s">
        <v>57</v>
      </c>
      <c r="H293" s="27">
        <f>0.35*23.25</f>
        <v>8.1374999999999993</v>
      </c>
      <c r="I293" s="55">
        <f t="shared" si="14"/>
        <v>76.386712499999987</v>
      </c>
      <c r="J293" s="59"/>
      <c r="K293" s="4"/>
      <c r="L293" s="4"/>
      <c r="M293" s="4"/>
      <c r="N293" s="4"/>
      <c r="O293" s="4"/>
      <c r="P293" s="4"/>
      <c r="Q293" s="4"/>
      <c r="AK293" s="44">
        <f t="shared" si="12"/>
        <v>1.0429999999999999</v>
      </c>
    </row>
    <row r="294" spans="2:37" ht="12.75" customHeight="1">
      <c r="B294" s="26">
        <f t="shared" si="13"/>
        <v>286</v>
      </c>
      <c r="C294" s="98" t="s">
        <v>487</v>
      </c>
      <c r="D294" s="39"/>
      <c r="E294" s="39"/>
      <c r="F294" s="139"/>
      <c r="G294" s="122"/>
      <c r="H294" s="27"/>
      <c r="I294" s="55">
        <f t="shared" si="14"/>
        <v>0</v>
      </c>
      <c r="J294" s="59"/>
      <c r="K294" s="4"/>
      <c r="L294" s="4"/>
      <c r="M294" s="4"/>
      <c r="N294" s="4"/>
      <c r="O294" s="4"/>
      <c r="P294" s="4"/>
      <c r="Q294" s="4"/>
      <c r="AK294" s="44">
        <f t="shared" si="12"/>
        <v>0</v>
      </c>
    </row>
    <row r="295" spans="2:37" ht="12.75" customHeight="1">
      <c r="B295" s="26">
        <f t="shared" si="13"/>
        <v>287</v>
      </c>
      <c r="C295" s="86" t="s">
        <v>470</v>
      </c>
      <c r="D295" s="53"/>
      <c r="E295" s="53">
        <f>TRUNC((14.33-1)/1+1.9)</f>
        <v>15</v>
      </c>
      <c r="F295" s="53">
        <v>5</v>
      </c>
      <c r="G295" s="122" t="s">
        <v>57</v>
      </c>
      <c r="H295" s="154">
        <f>0.25*17.75</f>
        <v>4.4375</v>
      </c>
      <c r="I295" s="55">
        <f t="shared" si="14"/>
        <v>69.424687500000005</v>
      </c>
      <c r="J295" s="59"/>
      <c r="K295" s="4"/>
      <c r="M295" s="4"/>
      <c r="N295" s="4"/>
      <c r="O295" s="4"/>
      <c r="P295" s="4"/>
      <c r="Q295" s="4"/>
      <c r="AK295" s="44">
        <f t="shared" si="12"/>
        <v>1.0429999999999999</v>
      </c>
    </row>
    <row r="296" spans="2:37" ht="12.75" customHeight="1">
      <c r="B296" s="26">
        <f t="shared" si="13"/>
        <v>288</v>
      </c>
      <c r="C296" s="86" t="s">
        <v>465</v>
      </c>
      <c r="D296" s="53"/>
      <c r="E296" s="53">
        <f>TRUNC((14.5-1)/1+1.9)</f>
        <v>15</v>
      </c>
      <c r="F296" s="53">
        <v>6</v>
      </c>
      <c r="G296" s="122" t="s">
        <v>57</v>
      </c>
      <c r="H296" s="154">
        <f>0.25*29.33</f>
        <v>7.3324999999999996</v>
      </c>
      <c r="I296" s="55">
        <f t="shared" si="14"/>
        <v>165.20122499999999</v>
      </c>
      <c r="J296" s="59"/>
      <c r="K296" s="4"/>
      <c r="L296" s="4"/>
      <c r="M296" s="4"/>
      <c r="N296" s="4"/>
      <c r="O296" s="4"/>
      <c r="P296" s="4"/>
      <c r="Q296" s="4"/>
      <c r="AK296" s="44">
        <f t="shared" si="12"/>
        <v>1.502</v>
      </c>
    </row>
    <row r="297" spans="2:37" ht="12.75" customHeight="1">
      <c r="B297" s="26">
        <f t="shared" si="13"/>
        <v>289</v>
      </c>
      <c r="C297" s="86" t="s">
        <v>465</v>
      </c>
      <c r="D297" s="53"/>
      <c r="E297" s="53">
        <f>TRUNC((14.67-1)/1+1.9)</f>
        <v>15</v>
      </c>
      <c r="F297" s="53">
        <v>6</v>
      </c>
      <c r="G297" s="122" t="s">
        <v>57</v>
      </c>
      <c r="H297" s="154">
        <f>0.25*29.33</f>
        <v>7.3324999999999996</v>
      </c>
      <c r="I297" s="55">
        <f t="shared" si="14"/>
        <v>165.20122499999999</v>
      </c>
      <c r="J297" s="59"/>
      <c r="K297" s="4"/>
      <c r="L297" s="4"/>
      <c r="M297" s="4"/>
      <c r="N297" s="4"/>
      <c r="O297" s="4"/>
      <c r="P297" s="4"/>
      <c r="Q297" s="4"/>
      <c r="AK297" s="44">
        <f t="shared" si="12"/>
        <v>1.502</v>
      </c>
    </row>
    <row r="298" spans="2:37" ht="12.75" customHeight="1">
      <c r="B298" s="26">
        <f t="shared" si="13"/>
        <v>290</v>
      </c>
      <c r="C298" s="86" t="s">
        <v>465</v>
      </c>
      <c r="D298" s="53"/>
      <c r="E298" s="53">
        <f>TRUNC((15-1)/1+1.9)</f>
        <v>15</v>
      </c>
      <c r="F298" s="53">
        <v>6</v>
      </c>
      <c r="G298" s="122" t="s">
        <v>57</v>
      </c>
      <c r="H298" s="154">
        <f>0.25*19.67</f>
        <v>4.9175000000000004</v>
      </c>
      <c r="I298" s="55">
        <f t="shared" si="14"/>
        <v>110.79127500000001</v>
      </c>
      <c r="J298" s="59"/>
      <c r="L298" s="4"/>
      <c r="M298" s="4"/>
      <c r="N298" s="4"/>
      <c r="O298" s="4"/>
      <c r="P298" s="4"/>
      <c r="Q298" s="4"/>
      <c r="AK298" s="44">
        <f t="shared" si="12"/>
        <v>1.502</v>
      </c>
    </row>
    <row r="299" spans="2:37" ht="12.75" customHeight="1">
      <c r="B299" s="26">
        <f t="shared" si="13"/>
        <v>291</v>
      </c>
      <c r="C299" s="86" t="s">
        <v>465</v>
      </c>
      <c r="D299" s="39"/>
      <c r="E299" s="53">
        <f>TRUNC((15.58-1)/1+1.9)</f>
        <v>16</v>
      </c>
      <c r="F299" s="139">
        <v>6</v>
      </c>
      <c r="G299" s="122" t="s">
        <v>57</v>
      </c>
      <c r="H299" s="27">
        <f>0.25*23.25</f>
        <v>5.8125</v>
      </c>
      <c r="I299" s="55">
        <f t="shared" si="14"/>
        <v>139.68600000000001</v>
      </c>
      <c r="J299" s="59"/>
      <c r="K299" s="4"/>
      <c r="L299" s="4"/>
      <c r="M299" s="4"/>
      <c r="N299" s="4"/>
      <c r="O299" s="4"/>
      <c r="P299" s="4"/>
      <c r="Q299" s="4"/>
      <c r="AK299" s="44">
        <f t="shared" si="12"/>
        <v>1.502</v>
      </c>
    </row>
    <row r="300" spans="2:37" ht="12.75" customHeight="1">
      <c r="B300" s="26">
        <f t="shared" si="13"/>
        <v>292</v>
      </c>
      <c r="C300" s="86" t="s">
        <v>470</v>
      </c>
      <c r="D300" s="39"/>
      <c r="E300" s="53">
        <f>TRUNC((15.75-1)/1+1.9)</f>
        <v>16</v>
      </c>
      <c r="F300" s="139">
        <v>5</v>
      </c>
      <c r="G300" s="122" t="s">
        <v>57</v>
      </c>
      <c r="H300" s="27">
        <f>0.25*23.25</f>
        <v>5.8125</v>
      </c>
      <c r="I300" s="55">
        <f t="shared" si="14"/>
        <v>96.998999999999995</v>
      </c>
      <c r="J300" s="59"/>
      <c r="K300" s="4"/>
      <c r="L300" s="4"/>
      <c r="M300" s="4"/>
      <c r="N300" s="4"/>
      <c r="O300" s="4"/>
      <c r="P300" s="4"/>
      <c r="Q300" s="4"/>
      <c r="AK300" s="44">
        <f t="shared" si="12"/>
        <v>1.0429999999999999</v>
      </c>
    </row>
    <row r="301" spans="2:37" ht="12.75" customHeight="1">
      <c r="B301" s="26">
        <f t="shared" si="13"/>
        <v>293</v>
      </c>
      <c r="C301" s="98" t="s">
        <v>499</v>
      </c>
      <c r="D301" s="53"/>
      <c r="E301" s="53"/>
      <c r="F301" s="53"/>
      <c r="G301" s="122"/>
      <c r="H301" s="154"/>
      <c r="I301" s="55">
        <f t="shared" si="14"/>
        <v>0</v>
      </c>
      <c r="J301" s="59"/>
      <c r="L301" s="4"/>
      <c r="M301" s="4"/>
      <c r="N301" s="4"/>
      <c r="O301" s="4"/>
      <c r="P301" s="4"/>
      <c r="Q301" s="4"/>
      <c r="AK301" s="44">
        <f t="shared" si="12"/>
        <v>0</v>
      </c>
    </row>
    <row r="302" spans="2:37" ht="12.75" customHeight="1">
      <c r="B302" s="26">
        <f t="shared" si="13"/>
        <v>294</v>
      </c>
      <c r="C302" s="86" t="s">
        <v>470</v>
      </c>
      <c r="D302" s="53"/>
      <c r="E302" s="53">
        <f t="shared" ref="E302:E307" si="15">TRUNC((14.33-0.5)/1+1.9)</f>
        <v>15</v>
      </c>
      <c r="F302" s="53">
        <v>5</v>
      </c>
      <c r="G302" s="122" t="s">
        <v>57</v>
      </c>
      <c r="H302" s="154">
        <f>0.35*17.75</f>
        <v>6.2124999999999995</v>
      </c>
      <c r="I302" s="55">
        <f t="shared" si="14"/>
        <v>97.194562499999989</v>
      </c>
      <c r="J302" s="59"/>
      <c r="K302" s="4"/>
      <c r="L302" s="4"/>
      <c r="M302" s="4"/>
      <c r="N302" s="4"/>
      <c r="O302" s="4"/>
      <c r="P302" s="4"/>
      <c r="Q302" s="4"/>
      <c r="AK302" s="44">
        <f t="shared" si="12"/>
        <v>1.0429999999999999</v>
      </c>
    </row>
    <row r="303" spans="2:37" ht="12.75" customHeight="1">
      <c r="B303" s="26">
        <f t="shared" si="13"/>
        <v>295</v>
      </c>
      <c r="C303" s="86" t="s">
        <v>472</v>
      </c>
      <c r="D303" s="53"/>
      <c r="E303" s="53">
        <f t="shared" si="15"/>
        <v>15</v>
      </c>
      <c r="F303" s="53">
        <v>9</v>
      </c>
      <c r="G303" s="122" t="s">
        <v>57</v>
      </c>
      <c r="H303" s="154">
        <f>0.35*29.33</f>
        <v>10.265499999999999</v>
      </c>
      <c r="I303" s="55">
        <f t="shared" si="14"/>
        <v>523.54049999999995</v>
      </c>
      <c r="J303" s="59"/>
      <c r="K303" s="4"/>
      <c r="L303" s="4"/>
      <c r="M303" s="4"/>
      <c r="N303" s="4"/>
      <c r="O303" s="4"/>
      <c r="P303" s="4"/>
      <c r="Q303" s="4"/>
      <c r="AK303" s="44">
        <f t="shared" si="12"/>
        <v>3.4</v>
      </c>
    </row>
    <row r="304" spans="2:37" ht="12.75" customHeight="1">
      <c r="B304" s="26">
        <f t="shared" si="13"/>
        <v>296</v>
      </c>
      <c r="C304" s="86" t="s">
        <v>465</v>
      </c>
      <c r="D304" s="53"/>
      <c r="E304" s="53">
        <f t="shared" si="15"/>
        <v>15</v>
      </c>
      <c r="F304" s="53">
        <v>6</v>
      </c>
      <c r="G304" s="122" t="s">
        <v>57</v>
      </c>
      <c r="H304" s="154">
        <f>0.35*29.33</f>
        <v>10.265499999999999</v>
      </c>
      <c r="I304" s="55">
        <f t="shared" si="14"/>
        <v>231.28171499999999</v>
      </c>
      <c r="J304" s="59"/>
      <c r="K304" s="4"/>
      <c r="L304" s="4"/>
      <c r="M304" s="4"/>
      <c r="N304" s="4"/>
      <c r="O304" s="4"/>
      <c r="P304" s="4"/>
      <c r="Q304" s="4"/>
      <c r="AK304" s="44">
        <f t="shared" si="12"/>
        <v>1.502</v>
      </c>
    </row>
    <row r="305" spans="2:37" ht="12.75" customHeight="1">
      <c r="B305" s="26">
        <f t="shared" si="13"/>
        <v>297</v>
      </c>
      <c r="C305" s="86" t="s">
        <v>470</v>
      </c>
      <c r="D305" s="53"/>
      <c r="E305" s="53">
        <f t="shared" si="15"/>
        <v>15</v>
      </c>
      <c r="F305" s="53">
        <v>5</v>
      </c>
      <c r="G305" s="122" t="s">
        <v>57</v>
      </c>
      <c r="H305" s="154">
        <f>0.35*19.67</f>
        <v>6.8845000000000001</v>
      </c>
      <c r="I305" s="55">
        <f t="shared" si="14"/>
        <v>107.70800249999999</v>
      </c>
      <c r="J305" s="59"/>
      <c r="K305" s="4"/>
      <c r="L305" s="4"/>
      <c r="M305" s="4"/>
      <c r="N305" s="4"/>
      <c r="O305" s="4"/>
      <c r="P305" s="4"/>
      <c r="Q305" s="4"/>
      <c r="AK305" s="44">
        <f t="shared" si="12"/>
        <v>1.0429999999999999</v>
      </c>
    </row>
    <row r="306" spans="2:37" ht="12.75" customHeight="1">
      <c r="B306" s="26">
        <f t="shared" si="13"/>
        <v>298</v>
      </c>
      <c r="C306" s="86" t="s">
        <v>467</v>
      </c>
      <c r="D306" s="39"/>
      <c r="E306" s="53">
        <f t="shared" si="15"/>
        <v>15</v>
      </c>
      <c r="F306" s="139">
        <v>8</v>
      </c>
      <c r="G306" s="122" t="s">
        <v>57</v>
      </c>
      <c r="H306" s="27">
        <f>0.35*23.33</f>
        <v>8.1654999999999998</v>
      </c>
      <c r="I306" s="55">
        <f t="shared" si="14"/>
        <v>327.02827500000001</v>
      </c>
      <c r="J306" s="59"/>
      <c r="K306" s="4"/>
      <c r="L306" s="4"/>
      <c r="M306" s="4"/>
      <c r="N306" s="4"/>
      <c r="O306" s="4"/>
      <c r="P306" s="4"/>
      <c r="Q306" s="4"/>
      <c r="AK306" s="44">
        <f t="shared" si="12"/>
        <v>2.67</v>
      </c>
    </row>
    <row r="307" spans="2:37" ht="12.75" customHeight="1">
      <c r="B307" s="26">
        <f t="shared" si="13"/>
        <v>299</v>
      </c>
      <c r="C307" s="86" t="s">
        <v>470</v>
      </c>
      <c r="D307" s="39"/>
      <c r="E307" s="53">
        <f t="shared" si="15"/>
        <v>15</v>
      </c>
      <c r="F307" s="139">
        <v>5</v>
      </c>
      <c r="G307" s="122" t="s">
        <v>57</v>
      </c>
      <c r="H307" s="27">
        <f>0.35*23.33</f>
        <v>8.1654999999999998</v>
      </c>
      <c r="I307" s="55">
        <f t="shared" si="14"/>
        <v>127.7492475</v>
      </c>
      <c r="J307" s="59"/>
      <c r="K307" s="4"/>
      <c r="L307" s="4"/>
      <c r="M307" s="4"/>
      <c r="N307" s="4"/>
      <c r="O307" s="4"/>
      <c r="P307" s="4"/>
      <c r="Q307" s="4"/>
      <c r="AK307" s="44">
        <f t="shared" si="12"/>
        <v>1.0429999999999999</v>
      </c>
    </row>
    <row r="308" spans="2:37" ht="12.75" customHeight="1">
      <c r="B308" s="26">
        <f t="shared" si="13"/>
        <v>300</v>
      </c>
      <c r="C308" s="98" t="s">
        <v>487</v>
      </c>
      <c r="D308" s="39"/>
      <c r="E308" s="39"/>
      <c r="F308" s="139"/>
      <c r="G308" s="122"/>
      <c r="H308" s="27"/>
      <c r="I308" s="55">
        <f t="shared" si="14"/>
        <v>0</v>
      </c>
      <c r="J308" s="59"/>
      <c r="K308" s="4"/>
      <c r="L308" s="4"/>
      <c r="M308" s="4"/>
      <c r="N308" s="4"/>
      <c r="O308" s="4"/>
      <c r="P308" s="4"/>
      <c r="Q308" s="4"/>
      <c r="AK308" s="44">
        <f t="shared" si="12"/>
        <v>0</v>
      </c>
    </row>
    <row r="309" spans="2:37" ht="12.75" customHeight="1">
      <c r="B309" s="26">
        <f t="shared" si="13"/>
        <v>301</v>
      </c>
      <c r="C309" s="86" t="s">
        <v>470</v>
      </c>
      <c r="D309" s="53"/>
      <c r="E309" s="53">
        <f>TRUNC((14-1)/1+1.9)</f>
        <v>14</v>
      </c>
      <c r="F309" s="53">
        <v>5</v>
      </c>
      <c r="G309" s="122" t="s">
        <v>57</v>
      </c>
      <c r="H309" s="154">
        <f>0.25*17.75</f>
        <v>4.4375</v>
      </c>
      <c r="I309" s="55">
        <f t="shared" si="14"/>
        <v>64.796374999999998</v>
      </c>
      <c r="J309" s="59"/>
      <c r="K309" s="4"/>
      <c r="M309" s="4"/>
      <c r="N309" s="4"/>
      <c r="O309" s="4"/>
      <c r="P309" s="4"/>
      <c r="Q309" s="4"/>
      <c r="AK309" s="44">
        <f t="shared" si="12"/>
        <v>1.0429999999999999</v>
      </c>
    </row>
    <row r="310" spans="2:37" ht="12.75" customHeight="1">
      <c r="B310" s="26">
        <f t="shared" si="13"/>
        <v>302</v>
      </c>
      <c r="C310" s="86" t="s">
        <v>465</v>
      </c>
      <c r="D310" s="53"/>
      <c r="E310" s="53">
        <f>TRUNC((14-1)/1+1.9)</f>
        <v>14</v>
      </c>
      <c r="F310" s="53">
        <v>6</v>
      </c>
      <c r="G310" s="122" t="s">
        <v>57</v>
      </c>
      <c r="H310" s="154">
        <f>0.25*29.33</f>
        <v>7.3324999999999996</v>
      </c>
      <c r="I310" s="55">
        <f t="shared" si="14"/>
        <v>154.18781000000001</v>
      </c>
      <c r="J310" s="59"/>
      <c r="K310" s="4"/>
      <c r="L310" s="4"/>
      <c r="M310" s="4"/>
      <c r="N310" s="4"/>
      <c r="O310" s="4"/>
      <c r="P310" s="4"/>
      <c r="Q310" s="4"/>
      <c r="AK310" s="44">
        <f t="shared" si="12"/>
        <v>1.502</v>
      </c>
    </row>
    <row r="311" spans="2:37" ht="12.75" customHeight="1">
      <c r="B311" s="26">
        <f t="shared" si="13"/>
        <v>303</v>
      </c>
      <c r="C311" s="86" t="s">
        <v>465</v>
      </c>
      <c r="D311" s="53"/>
      <c r="E311" s="53">
        <f t="shared" ref="E311:E314" si="16">TRUNC((14-1)/1+1.9)</f>
        <v>14</v>
      </c>
      <c r="F311" s="53">
        <v>6</v>
      </c>
      <c r="G311" s="122" t="s">
        <v>57</v>
      </c>
      <c r="H311" s="154">
        <f>0.25*29.33</f>
        <v>7.3324999999999996</v>
      </c>
      <c r="I311" s="55">
        <f t="shared" si="14"/>
        <v>154.18781000000001</v>
      </c>
      <c r="J311" s="59"/>
      <c r="K311" s="4"/>
      <c r="L311" s="4"/>
      <c r="M311" s="4"/>
      <c r="N311" s="4"/>
      <c r="O311" s="4"/>
      <c r="P311" s="4"/>
      <c r="Q311" s="4"/>
      <c r="AK311" s="44">
        <f t="shared" si="12"/>
        <v>1.502</v>
      </c>
    </row>
    <row r="312" spans="2:37" ht="12.75" customHeight="1">
      <c r="B312" s="26">
        <f t="shared" si="13"/>
        <v>304</v>
      </c>
      <c r="C312" s="86" t="s">
        <v>465</v>
      </c>
      <c r="D312" s="53"/>
      <c r="E312" s="53">
        <f t="shared" si="16"/>
        <v>14</v>
      </c>
      <c r="F312" s="53">
        <v>6</v>
      </c>
      <c r="G312" s="122" t="s">
        <v>57</v>
      </c>
      <c r="H312" s="154">
        <f>0.25*19.67</f>
        <v>4.9175000000000004</v>
      </c>
      <c r="I312" s="55">
        <f t="shared" si="14"/>
        <v>103.40519</v>
      </c>
      <c r="J312" s="59"/>
      <c r="K312" s="4"/>
      <c r="L312" s="4"/>
      <c r="M312" s="4"/>
      <c r="N312" s="4"/>
      <c r="O312" s="4"/>
      <c r="P312" s="4"/>
      <c r="Q312" s="4"/>
      <c r="AK312" s="44">
        <f t="shared" si="12"/>
        <v>1.502</v>
      </c>
    </row>
    <row r="313" spans="2:37" ht="12.75" customHeight="1">
      <c r="B313" s="26">
        <f t="shared" si="13"/>
        <v>305</v>
      </c>
      <c r="C313" s="86" t="s">
        <v>465</v>
      </c>
      <c r="D313" s="39"/>
      <c r="E313" s="53">
        <f t="shared" si="16"/>
        <v>14</v>
      </c>
      <c r="F313" s="139">
        <v>6</v>
      </c>
      <c r="G313" s="122" t="s">
        <v>57</v>
      </c>
      <c r="H313" s="27">
        <f>0.25*23.25</f>
        <v>5.8125</v>
      </c>
      <c r="I313" s="55">
        <f t="shared" si="14"/>
        <v>122.22525</v>
      </c>
      <c r="J313" s="59"/>
      <c r="L313" s="4"/>
      <c r="M313" s="4"/>
      <c r="N313" s="4"/>
      <c r="O313" s="4"/>
      <c r="P313" s="4"/>
      <c r="Q313" s="4"/>
      <c r="AK313" s="44">
        <f t="shared" si="12"/>
        <v>1.502</v>
      </c>
    </row>
    <row r="314" spans="2:37" ht="12.75" customHeight="1">
      <c r="B314" s="26">
        <f t="shared" si="13"/>
        <v>306</v>
      </c>
      <c r="C314" s="86" t="s">
        <v>470</v>
      </c>
      <c r="D314" s="39"/>
      <c r="E314" s="53">
        <f t="shared" si="16"/>
        <v>14</v>
      </c>
      <c r="F314" s="139">
        <v>5</v>
      </c>
      <c r="G314" s="122" t="s">
        <v>57</v>
      </c>
      <c r="H314" s="27">
        <f>0.25*23.25</f>
        <v>5.8125</v>
      </c>
      <c r="I314" s="55">
        <f t="shared" si="14"/>
        <v>84.874124999999992</v>
      </c>
      <c r="J314" s="59"/>
      <c r="K314" s="4"/>
      <c r="L314" s="4"/>
      <c r="M314" s="4"/>
      <c r="N314" s="4"/>
      <c r="O314" s="4"/>
      <c r="P314" s="4"/>
      <c r="Q314" s="4"/>
      <c r="AK314" s="44">
        <f t="shared" si="12"/>
        <v>1.0429999999999999</v>
      </c>
    </row>
    <row r="315" spans="2:37" ht="12.75" customHeight="1">
      <c r="B315" s="26">
        <f t="shared" si="13"/>
        <v>307</v>
      </c>
      <c r="C315" s="98" t="s">
        <v>500</v>
      </c>
      <c r="D315" s="53"/>
      <c r="E315" s="53"/>
      <c r="F315" s="53"/>
      <c r="G315" s="122"/>
      <c r="H315" s="154"/>
      <c r="I315" s="55">
        <f t="shared" si="14"/>
        <v>0</v>
      </c>
      <c r="J315" s="59"/>
      <c r="K315" s="4"/>
      <c r="L315" s="4"/>
      <c r="M315" s="4"/>
      <c r="N315" s="4"/>
      <c r="O315" s="4"/>
      <c r="P315" s="4"/>
      <c r="Q315" s="4"/>
      <c r="AK315" s="44">
        <f t="shared" si="12"/>
        <v>0</v>
      </c>
    </row>
    <row r="316" spans="2:37" ht="12.75" customHeight="1">
      <c r="B316" s="26">
        <f t="shared" si="13"/>
        <v>308</v>
      </c>
      <c r="C316" s="86" t="s">
        <v>470</v>
      </c>
      <c r="D316" s="53"/>
      <c r="E316" s="53">
        <f>TRUNC((14-1)/1+1.9)</f>
        <v>14</v>
      </c>
      <c r="F316" s="53">
        <v>5</v>
      </c>
      <c r="G316" s="122" t="s">
        <v>57</v>
      </c>
      <c r="H316" s="154">
        <f>0.35*17.75</f>
        <v>6.2124999999999995</v>
      </c>
      <c r="I316" s="55">
        <f t="shared" si="14"/>
        <v>90.714924999999994</v>
      </c>
      <c r="J316" s="59"/>
      <c r="L316" s="4"/>
      <c r="M316" s="4"/>
      <c r="N316" s="4"/>
      <c r="O316" s="4"/>
      <c r="P316" s="4"/>
      <c r="Q316" s="4"/>
      <c r="AK316" s="44">
        <f t="shared" si="12"/>
        <v>1.0429999999999999</v>
      </c>
    </row>
    <row r="317" spans="2:37" ht="12.75" customHeight="1">
      <c r="B317" s="26">
        <f t="shared" si="13"/>
        <v>309</v>
      </c>
      <c r="C317" s="86" t="s">
        <v>472</v>
      </c>
      <c r="D317" s="53"/>
      <c r="E317" s="53">
        <f t="shared" ref="E317" si="17">TRUNC((14-1)/1+1.9)</f>
        <v>14</v>
      </c>
      <c r="F317" s="53">
        <v>9</v>
      </c>
      <c r="G317" s="122" t="s">
        <v>57</v>
      </c>
      <c r="H317" s="154">
        <f>0.35*29.33</f>
        <v>10.265499999999999</v>
      </c>
      <c r="I317" s="55">
        <f t="shared" si="14"/>
        <v>488.63779999999997</v>
      </c>
      <c r="J317" s="59"/>
      <c r="K317" s="4"/>
      <c r="L317" s="4"/>
      <c r="M317" s="4"/>
      <c r="N317" s="4"/>
      <c r="O317" s="4"/>
      <c r="P317" s="4"/>
      <c r="Q317" s="4"/>
      <c r="AK317" s="44">
        <f t="shared" si="12"/>
        <v>3.4</v>
      </c>
    </row>
    <row r="318" spans="2:37" ht="12.75" customHeight="1">
      <c r="B318" s="26">
        <f t="shared" si="13"/>
        <v>310</v>
      </c>
      <c r="C318" s="86" t="s">
        <v>465</v>
      </c>
      <c r="D318" s="53"/>
      <c r="E318" s="53">
        <f>TRUNC((13-1)/1+1.9)</f>
        <v>13</v>
      </c>
      <c r="F318" s="53">
        <v>6</v>
      </c>
      <c r="G318" s="122" t="s">
        <v>57</v>
      </c>
      <c r="H318" s="154">
        <f>0.35*29.33</f>
        <v>10.265499999999999</v>
      </c>
      <c r="I318" s="55">
        <f t="shared" si="14"/>
        <v>200.444153</v>
      </c>
      <c r="J318" s="59"/>
      <c r="K318" s="4"/>
      <c r="L318" s="4"/>
      <c r="M318" s="4"/>
      <c r="N318" s="4"/>
      <c r="O318" s="4"/>
      <c r="P318" s="4"/>
      <c r="Q318" s="4"/>
      <c r="AK318" s="44">
        <f t="shared" si="12"/>
        <v>1.502</v>
      </c>
    </row>
    <row r="319" spans="2:37" ht="12.75" customHeight="1">
      <c r="B319" s="26">
        <f t="shared" si="13"/>
        <v>311</v>
      </c>
      <c r="C319" s="86" t="s">
        <v>470</v>
      </c>
      <c r="D319" s="53"/>
      <c r="E319" s="53">
        <f>TRUNC((11.83-1)/1+1.9)</f>
        <v>12</v>
      </c>
      <c r="F319" s="53">
        <v>5</v>
      </c>
      <c r="G319" s="122" t="s">
        <v>57</v>
      </c>
      <c r="H319" s="154">
        <f>0.35*19.67</f>
        <v>6.8845000000000001</v>
      </c>
      <c r="I319" s="55">
        <f t="shared" si="14"/>
        <v>86.166401999999991</v>
      </c>
      <c r="J319" s="59"/>
      <c r="K319" s="4"/>
      <c r="L319" s="4"/>
      <c r="M319" s="4"/>
      <c r="N319" s="4"/>
      <c r="O319" s="4"/>
      <c r="P319" s="4"/>
      <c r="Q319" s="4"/>
      <c r="AK319" s="44">
        <f t="shared" si="12"/>
        <v>1.0429999999999999</v>
      </c>
    </row>
    <row r="320" spans="2:37" ht="12.75" customHeight="1">
      <c r="B320" s="26">
        <f t="shared" si="13"/>
        <v>312</v>
      </c>
      <c r="C320" s="86" t="s">
        <v>467</v>
      </c>
      <c r="D320" s="39"/>
      <c r="E320" s="53">
        <f>TRUNC((12-1)/1+1.9)</f>
        <v>12</v>
      </c>
      <c r="F320" s="139">
        <v>8</v>
      </c>
      <c r="G320" s="122" t="s">
        <v>57</v>
      </c>
      <c r="H320" s="27">
        <f>0.35*23.5</f>
        <v>8.2249999999999996</v>
      </c>
      <c r="I320" s="55">
        <f t="shared" si="14"/>
        <v>263.529</v>
      </c>
      <c r="J320" s="59"/>
      <c r="K320" s="4"/>
      <c r="L320" s="4"/>
      <c r="M320" s="4"/>
      <c r="N320" s="4"/>
      <c r="O320" s="4"/>
      <c r="P320" s="4"/>
      <c r="Q320" s="4"/>
      <c r="AK320" s="44">
        <f t="shared" si="12"/>
        <v>2.67</v>
      </c>
    </row>
    <row r="321" spans="2:37" ht="12.75" customHeight="1">
      <c r="B321" s="26">
        <f t="shared" si="13"/>
        <v>313</v>
      </c>
      <c r="C321" s="86" t="s">
        <v>470</v>
      </c>
      <c r="D321" s="39"/>
      <c r="E321" s="53">
        <f>TRUNC((12-1)/1+1.9)</f>
        <v>12</v>
      </c>
      <c r="F321" s="139">
        <v>5</v>
      </c>
      <c r="G321" s="122" t="s">
        <v>57</v>
      </c>
      <c r="H321" s="27">
        <f>0.35*23.5</f>
        <v>8.2249999999999996</v>
      </c>
      <c r="I321" s="55">
        <f t="shared" si="14"/>
        <v>102.94409999999999</v>
      </c>
      <c r="J321" s="59"/>
      <c r="K321" s="4"/>
      <c r="L321" s="4"/>
      <c r="M321" s="4"/>
      <c r="N321" s="4"/>
      <c r="O321" s="4"/>
      <c r="P321" s="4"/>
      <c r="Q321" s="4"/>
      <c r="AK321" s="44">
        <f t="shared" si="12"/>
        <v>1.0429999999999999</v>
      </c>
    </row>
    <row r="322" spans="2:37" ht="12.75" customHeight="1">
      <c r="B322" s="26">
        <f t="shared" si="13"/>
        <v>314</v>
      </c>
      <c r="C322" s="98" t="s">
        <v>487</v>
      </c>
      <c r="D322" s="39"/>
      <c r="E322" s="39"/>
      <c r="F322" s="139"/>
      <c r="G322" s="122"/>
      <c r="H322" s="27"/>
      <c r="I322" s="55">
        <f t="shared" si="14"/>
        <v>0</v>
      </c>
      <c r="J322" s="59"/>
      <c r="K322" s="4"/>
      <c r="L322" s="4"/>
      <c r="M322" s="4"/>
      <c r="N322" s="4"/>
      <c r="O322" s="4"/>
      <c r="P322" s="4"/>
      <c r="Q322" s="4"/>
      <c r="AK322" s="44">
        <f t="shared" si="12"/>
        <v>0</v>
      </c>
    </row>
    <row r="323" spans="2:37" ht="12.75" customHeight="1">
      <c r="B323" s="26">
        <f t="shared" si="13"/>
        <v>315</v>
      </c>
      <c r="C323" s="86" t="s">
        <v>470</v>
      </c>
      <c r="D323" s="53"/>
      <c r="E323" s="53">
        <f>TRUNC((14-1)/1+1.9)</f>
        <v>14</v>
      </c>
      <c r="F323" s="53">
        <v>5</v>
      </c>
      <c r="G323" s="122" t="s">
        <v>57</v>
      </c>
      <c r="H323" s="154">
        <f>0.25*17.75</f>
        <v>4.4375</v>
      </c>
      <c r="I323" s="55">
        <f t="shared" si="14"/>
        <v>64.796374999999998</v>
      </c>
      <c r="J323" s="59"/>
      <c r="K323" s="4"/>
      <c r="L323" s="4"/>
      <c r="M323" s="4"/>
      <c r="N323" s="4"/>
      <c r="O323" s="4"/>
      <c r="P323" s="4"/>
      <c r="Q323" s="4"/>
      <c r="AK323" s="44">
        <f t="shared" si="12"/>
        <v>1.0429999999999999</v>
      </c>
    </row>
    <row r="324" spans="2:37" ht="12.75" customHeight="1">
      <c r="B324" s="26">
        <f t="shared" si="13"/>
        <v>316</v>
      </c>
      <c r="C324" s="86" t="s">
        <v>465</v>
      </c>
      <c r="D324" s="53"/>
      <c r="E324" s="53">
        <f>TRUNC((14-1)/1+1.9)</f>
        <v>14</v>
      </c>
      <c r="F324" s="53">
        <v>6</v>
      </c>
      <c r="G324" s="122" t="s">
        <v>57</v>
      </c>
      <c r="H324" s="154">
        <f>0.25*29.33</f>
        <v>7.3324999999999996</v>
      </c>
      <c r="I324" s="55">
        <f t="shared" si="14"/>
        <v>154.18781000000001</v>
      </c>
      <c r="J324" s="59"/>
      <c r="K324" s="4"/>
      <c r="M324" s="4"/>
      <c r="N324" s="4"/>
      <c r="O324" s="4"/>
      <c r="P324" s="4"/>
      <c r="Q324" s="4"/>
      <c r="AK324" s="44">
        <f t="shared" si="12"/>
        <v>1.502</v>
      </c>
    </row>
    <row r="325" spans="2:37" ht="12.75" customHeight="1">
      <c r="B325" s="26">
        <f t="shared" si="13"/>
        <v>317</v>
      </c>
      <c r="C325" s="86" t="s">
        <v>465</v>
      </c>
      <c r="D325" s="53"/>
      <c r="E325" s="53">
        <f>TRUNC((10-1)/1+1.9)</f>
        <v>10</v>
      </c>
      <c r="F325" s="53">
        <v>6</v>
      </c>
      <c r="G325" s="122" t="s">
        <v>57</v>
      </c>
      <c r="H325" s="154">
        <f>0.25*29.33</f>
        <v>7.3324999999999996</v>
      </c>
      <c r="I325" s="55">
        <f t="shared" si="14"/>
        <v>110.13415000000001</v>
      </c>
      <c r="J325" s="59"/>
      <c r="K325" s="4"/>
      <c r="L325" s="4"/>
      <c r="M325" s="4"/>
      <c r="N325" s="4"/>
      <c r="O325" s="4"/>
      <c r="P325" s="4"/>
      <c r="Q325" s="4"/>
      <c r="AK325" s="44">
        <f t="shared" si="12"/>
        <v>1.502</v>
      </c>
    </row>
    <row r="326" spans="2:37" ht="12.75" customHeight="1">
      <c r="B326" s="26">
        <f t="shared" si="13"/>
        <v>318</v>
      </c>
      <c r="C326" s="86" t="s">
        <v>465</v>
      </c>
      <c r="D326" s="53"/>
      <c r="E326" s="53">
        <f>TRUNC((9.83-1)/1+1.9)</f>
        <v>10</v>
      </c>
      <c r="F326" s="53">
        <v>6</v>
      </c>
      <c r="G326" s="122" t="s">
        <v>57</v>
      </c>
      <c r="H326" s="154">
        <f>0.25*19.67</f>
        <v>4.9175000000000004</v>
      </c>
      <c r="I326" s="55">
        <f t="shared" si="14"/>
        <v>73.860849999999999</v>
      </c>
      <c r="J326" s="59"/>
      <c r="K326" s="4"/>
      <c r="L326" s="4"/>
      <c r="M326" s="4"/>
      <c r="N326" s="4"/>
      <c r="O326" s="4"/>
      <c r="P326" s="4"/>
      <c r="Q326" s="4"/>
      <c r="AK326" s="44">
        <f t="shared" si="12"/>
        <v>1.502</v>
      </c>
    </row>
    <row r="327" spans="2:37" ht="12.75" customHeight="1">
      <c r="B327" s="26">
        <f t="shared" si="13"/>
        <v>319</v>
      </c>
      <c r="C327" s="86" t="s">
        <v>465</v>
      </c>
      <c r="D327" s="39"/>
      <c r="E327" s="53">
        <f>TRUNC((9.83-1)/1+1.9)</f>
        <v>10</v>
      </c>
      <c r="F327" s="139">
        <v>6</v>
      </c>
      <c r="G327" s="122" t="s">
        <v>57</v>
      </c>
      <c r="H327" s="27">
        <f>0.25*23.25</f>
        <v>5.8125</v>
      </c>
      <c r="I327" s="55">
        <f t="shared" si="14"/>
        <v>87.303750000000008</v>
      </c>
      <c r="J327" s="59"/>
      <c r="L327" s="4"/>
      <c r="M327" s="4"/>
      <c r="N327" s="4"/>
      <c r="O327" s="4"/>
      <c r="P327" s="4"/>
      <c r="Q327" s="4"/>
      <c r="AK327" s="44">
        <f t="shared" si="12"/>
        <v>1.502</v>
      </c>
    </row>
    <row r="328" spans="2:37" ht="12.75" customHeight="1">
      <c r="B328" s="26">
        <f t="shared" si="13"/>
        <v>320</v>
      </c>
      <c r="C328" s="86" t="s">
        <v>470</v>
      </c>
      <c r="D328" s="39"/>
      <c r="E328" s="53">
        <f>TRUNC((9.83-1)/1+1.9)</f>
        <v>10</v>
      </c>
      <c r="F328" s="139">
        <v>5</v>
      </c>
      <c r="G328" s="122" t="s">
        <v>57</v>
      </c>
      <c r="H328" s="27">
        <f>0.25*23.25</f>
        <v>5.8125</v>
      </c>
      <c r="I328" s="55">
        <f t="shared" si="14"/>
        <v>60.624375000000001</v>
      </c>
      <c r="J328" s="59"/>
      <c r="K328" s="4"/>
      <c r="L328" s="4"/>
      <c r="M328" s="4"/>
      <c r="N328" s="4"/>
      <c r="O328" s="4"/>
      <c r="P328" s="4"/>
      <c r="Q328" s="4"/>
      <c r="AK328" s="44">
        <f t="shared" si="12"/>
        <v>1.0429999999999999</v>
      </c>
    </row>
    <row r="329" spans="2:37" ht="12.75" customHeight="1">
      <c r="B329" s="26">
        <f t="shared" si="13"/>
        <v>321</v>
      </c>
      <c r="C329" s="98" t="s">
        <v>501</v>
      </c>
      <c r="D329" s="53"/>
      <c r="E329" s="53"/>
      <c r="F329" s="53"/>
      <c r="G329" s="122"/>
      <c r="H329" s="154"/>
      <c r="I329" s="55">
        <f t="shared" si="14"/>
        <v>0</v>
      </c>
      <c r="J329" s="59"/>
      <c r="K329" s="4"/>
      <c r="L329" s="4"/>
      <c r="M329" s="4"/>
      <c r="N329" s="4"/>
      <c r="O329" s="4"/>
      <c r="P329" s="4"/>
      <c r="Q329" s="4"/>
      <c r="AK329" s="44">
        <f t="shared" ref="AK329:AK392" si="18">IF(F329="",0,VLOOKUP(F329,$CI$16:$CJ$408,2,FALSE))</f>
        <v>0</v>
      </c>
    </row>
    <row r="330" spans="2:37" ht="12.75" customHeight="1">
      <c r="B330" s="26">
        <f t="shared" ref="B330:B393" si="19">IF(B329="SL.NO",1,B329+1)</f>
        <v>322</v>
      </c>
      <c r="C330" s="86" t="s">
        <v>470</v>
      </c>
      <c r="D330" s="53"/>
      <c r="E330" s="53">
        <f>TRUNC((14.25-1)/1+1.9)</f>
        <v>15</v>
      </c>
      <c r="F330" s="53">
        <v>5</v>
      </c>
      <c r="G330" s="122" t="s">
        <v>57</v>
      </c>
      <c r="H330" s="154">
        <f>0.35*17.75</f>
        <v>6.2124999999999995</v>
      </c>
      <c r="I330" s="55">
        <f t="shared" si="14"/>
        <v>97.194562499999989</v>
      </c>
      <c r="J330" s="59"/>
      <c r="K330" s="4"/>
      <c r="L330" s="4"/>
      <c r="M330" s="4"/>
      <c r="N330" s="4"/>
      <c r="O330" s="4"/>
      <c r="P330" s="4"/>
      <c r="Q330" s="4"/>
      <c r="AK330" s="44">
        <f t="shared" si="18"/>
        <v>1.0429999999999999</v>
      </c>
    </row>
    <row r="331" spans="2:37" ht="12.75" customHeight="1">
      <c r="B331" s="26">
        <f t="shared" si="19"/>
        <v>323</v>
      </c>
      <c r="C331" s="86" t="s">
        <v>472</v>
      </c>
      <c r="D331" s="53"/>
      <c r="E331" s="53">
        <f>TRUNC((14.25-1)/1+1.9)</f>
        <v>15</v>
      </c>
      <c r="F331" s="53">
        <v>9</v>
      </c>
      <c r="G331" s="122" t="s">
        <v>57</v>
      </c>
      <c r="H331" s="154">
        <f>0.35*29.33</f>
        <v>10.265499999999999</v>
      </c>
      <c r="I331" s="55">
        <f t="shared" si="14"/>
        <v>523.54049999999995</v>
      </c>
      <c r="J331" s="59"/>
      <c r="K331" s="4"/>
      <c r="L331" s="4"/>
      <c r="M331" s="4"/>
      <c r="N331" s="4"/>
      <c r="O331" s="4"/>
      <c r="P331" s="4"/>
      <c r="Q331" s="4"/>
      <c r="AK331" s="44">
        <f t="shared" si="18"/>
        <v>3.4</v>
      </c>
    </row>
    <row r="332" spans="2:37" ht="12.75" customHeight="1">
      <c r="B332" s="26">
        <f t="shared" si="19"/>
        <v>324</v>
      </c>
      <c r="C332" s="86" t="s">
        <v>465</v>
      </c>
      <c r="D332" s="53"/>
      <c r="E332" s="53">
        <f>TRUNC((14-1)/1+1.9)</f>
        <v>14</v>
      </c>
      <c r="F332" s="53">
        <v>6</v>
      </c>
      <c r="G332" s="122" t="s">
        <v>57</v>
      </c>
      <c r="H332" s="154">
        <f>0.35*29.33</f>
        <v>10.265499999999999</v>
      </c>
      <c r="I332" s="55">
        <f t="shared" si="14"/>
        <v>215.862934</v>
      </c>
      <c r="J332" s="59"/>
      <c r="K332" s="4"/>
      <c r="M332" s="4"/>
      <c r="N332" s="4"/>
      <c r="O332" s="4"/>
      <c r="P332" s="4"/>
      <c r="Q332" s="4"/>
      <c r="AK332" s="44">
        <f t="shared" si="18"/>
        <v>1.502</v>
      </c>
    </row>
    <row r="333" spans="2:37" ht="12.75" customHeight="1">
      <c r="B333" s="26">
        <f t="shared" si="19"/>
        <v>325</v>
      </c>
      <c r="C333" s="86" t="s">
        <v>470</v>
      </c>
      <c r="D333" s="53"/>
      <c r="E333" s="53">
        <f>TRUNC((13.33-1)/1+1.9)</f>
        <v>14</v>
      </c>
      <c r="F333" s="53">
        <v>5</v>
      </c>
      <c r="G333" s="122" t="s">
        <v>57</v>
      </c>
      <c r="H333" s="154">
        <f>0.35*19.67</f>
        <v>6.8845000000000001</v>
      </c>
      <c r="I333" s="55">
        <f t="shared" si="14"/>
        <v>100.527469</v>
      </c>
      <c r="J333" s="59"/>
      <c r="K333" s="4"/>
      <c r="L333" s="4"/>
      <c r="M333" s="4"/>
      <c r="N333" s="4"/>
      <c r="O333" s="4"/>
      <c r="P333" s="4"/>
      <c r="Q333" s="4"/>
      <c r="AK333" s="44">
        <f t="shared" si="18"/>
        <v>1.0429999999999999</v>
      </c>
    </row>
    <row r="334" spans="2:37" ht="12.75" customHeight="1">
      <c r="B334" s="26">
        <f t="shared" si="19"/>
        <v>326</v>
      </c>
      <c r="C334" s="86" t="s">
        <v>467</v>
      </c>
      <c r="D334" s="39"/>
      <c r="E334" s="53">
        <f>TRUNC((15-1)/1+1.9)</f>
        <v>15</v>
      </c>
      <c r="F334" s="139">
        <v>8</v>
      </c>
      <c r="G334" s="122" t="s">
        <v>57</v>
      </c>
      <c r="H334" s="27">
        <f>0.35*23.5</f>
        <v>8.2249999999999996</v>
      </c>
      <c r="I334" s="55">
        <f t="shared" si="14"/>
        <v>329.41124999999994</v>
      </c>
      <c r="J334" s="59"/>
      <c r="K334" s="4"/>
      <c r="L334" s="4"/>
      <c r="M334" s="4"/>
      <c r="N334" s="4"/>
      <c r="O334" s="4"/>
      <c r="P334" s="4"/>
      <c r="Q334" s="4"/>
      <c r="AK334" s="44">
        <f t="shared" si="18"/>
        <v>2.67</v>
      </c>
    </row>
    <row r="335" spans="2:37" ht="12.75" customHeight="1">
      <c r="B335" s="26">
        <f t="shared" si="19"/>
        <v>327</v>
      </c>
      <c r="C335" s="86" t="s">
        <v>470</v>
      </c>
      <c r="D335" s="39"/>
      <c r="E335" s="53">
        <f>TRUNC((15-1)/1+1.9)</f>
        <v>15</v>
      </c>
      <c r="F335" s="139">
        <v>5</v>
      </c>
      <c r="G335" s="122" t="s">
        <v>57</v>
      </c>
      <c r="H335" s="27">
        <f>0.35*23.5</f>
        <v>8.2249999999999996</v>
      </c>
      <c r="I335" s="55">
        <f t="shared" si="14"/>
        <v>128.68012499999998</v>
      </c>
      <c r="J335" s="59"/>
      <c r="L335" s="4"/>
      <c r="M335" s="4"/>
      <c r="N335" s="4"/>
      <c r="O335" s="4"/>
      <c r="P335" s="4"/>
      <c r="Q335" s="4"/>
      <c r="AK335" s="44">
        <f t="shared" si="18"/>
        <v>1.0429999999999999</v>
      </c>
    </row>
    <row r="336" spans="2:37" ht="12.75" customHeight="1">
      <c r="B336" s="26">
        <f t="shared" si="19"/>
        <v>328</v>
      </c>
      <c r="C336" s="98" t="s">
        <v>487</v>
      </c>
      <c r="D336" s="39"/>
      <c r="E336" s="39"/>
      <c r="F336" s="139"/>
      <c r="G336" s="122"/>
      <c r="H336" s="27"/>
      <c r="I336" s="55">
        <f t="shared" ref="I336:I399" si="20">IF(D336="",AK336*H336*E336,AK336*H336*E336*D336)</f>
        <v>0</v>
      </c>
      <c r="J336" s="59"/>
      <c r="K336" s="4"/>
      <c r="L336" s="4"/>
      <c r="M336" s="4"/>
      <c r="N336" s="4"/>
      <c r="O336" s="4"/>
      <c r="P336" s="4"/>
      <c r="Q336" s="4"/>
      <c r="AK336" s="44">
        <f t="shared" si="18"/>
        <v>0</v>
      </c>
    </row>
    <row r="337" spans="2:37" ht="12.75" customHeight="1">
      <c r="B337" s="26">
        <f t="shared" si="19"/>
        <v>329</v>
      </c>
      <c r="C337" s="86" t="s">
        <v>470</v>
      </c>
      <c r="D337" s="53"/>
      <c r="E337" s="53">
        <f>TRUNC((14.5-1)/1+1.9)</f>
        <v>15</v>
      </c>
      <c r="F337" s="53">
        <v>5</v>
      </c>
      <c r="G337" s="122" t="s">
        <v>57</v>
      </c>
      <c r="H337" s="154">
        <f>0.25*17.75</f>
        <v>4.4375</v>
      </c>
      <c r="I337" s="55">
        <f t="shared" si="20"/>
        <v>69.424687500000005</v>
      </c>
      <c r="J337" s="59"/>
      <c r="K337" s="4"/>
      <c r="L337" s="4"/>
      <c r="M337" s="4"/>
      <c r="N337" s="4"/>
      <c r="O337" s="4"/>
      <c r="P337" s="4"/>
      <c r="Q337" s="4"/>
      <c r="AK337" s="44">
        <f t="shared" si="18"/>
        <v>1.0429999999999999</v>
      </c>
    </row>
    <row r="338" spans="2:37" ht="12.75" customHeight="1">
      <c r="B338" s="26">
        <f t="shared" si="19"/>
        <v>330</v>
      </c>
      <c r="C338" s="86" t="s">
        <v>465</v>
      </c>
      <c r="D338" s="53"/>
      <c r="E338" s="53">
        <f>TRUNC((14.83-1)/1+1.9)</f>
        <v>15</v>
      </c>
      <c r="F338" s="53">
        <v>6</v>
      </c>
      <c r="G338" s="122" t="s">
        <v>57</v>
      </c>
      <c r="H338" s="154">
        <f>0.25*29.33</f>
        <v>7.3324999999999996</v>
      </c>
      <c r="I338" s="55">
        <f t="shared" si="20"/>
        <v>165.20122499999999</v>
      </c>
      <c r="J338" s="59"/>
      <c r="L338" s="4"/>
      <c r="M338" s="4"/>
      <c r="N338" s="4"/>
      <c r="O338" s="4"/>
      <c r="P338" s="4"/>
      <c r="Q338" s="4"/>
      <c r="AK338" s="44">
        <f t="shared" si="18"/>
        <v>1.502</v>
      </c>
    </row>
    <row r="339" spans="2:37" ht="12.75" customHeight="1">
      <c r="B339" s="26">
        <f t="shared" si="19"/>
        <v>331</v>
      </c>
      <c r="C339" s="86" t="s">
        <v>470</v>
      </c>
      <c r="D339" s="53"/>
      <c r="E339" s="53">
        <f>TRUNC((17.33-1)/1+1.9)</f>
        <v>18</v>
      </c>
      <c r="F339" s="53">
        <v>5</v>
      </c>
      <c r="G339" s="122" t="s">
        <v>57</v>
      </c>
      <c r="H339" s="154">
        <f>0.25*40</f>
        <v>10</v>
      </c>
      <c r="I339" s="55">
        <f t="shared" si="20"/>
        <v>187.74</v>
      </c>
      <c r="J339" s="59"/>
      <c r="K339" s="4"/>
      <c r="L339" s="4"/>
      <c r="M339" s="4"/>
      <c r="N339" s="4"/>
      <c r="O339" s="4"/>
      <c r="P339" s="4"/>
      <c r="Q339" s="4"/>
      <c r="AK339" s="44">
        <f t="shared" si="18"/>
        <v>1.0429999999999999</v>
      </c>
    </row>
    <row r="340" spans="2:37" ht="12.75" customHeight="1">
      <c r="B340" s="26">
        <f t="shared" si="19"/>
        <v>332</v>
      </c>
      <c r="C340" s="86" t="s">
        <v>465</v>
      </c>
      <c r="D340" s="53"/>
      <c r="E340" s="53">
        <f>TRUNC((16-1)/1+1.9)</f>
        <v>16</v>
      </c>
      <c r="F340" s="53">
        <v>6</v>
      </c>
      <c r="G340" s="122" t="s">
        <v>57</v>
      </c>
      <c r="H340" s="154">
        <f>0.25*40</f>
        <v>10</v>
      </c>
      <c r="I340" s="55">
        <f t="shared" si="20"/>
        <v>240.32</v>
      </c>
      <c r="J340" s="59"/>
      <c r="K340" s="4"/>
      <c r="L340" s="4"/>
      <c r="M340" s="4"/>
      <c r="N340" s="4"/>
      <c r="O340" s="4"/>
      <c r="P340" s="4"/>
      <c r="Q340" s="4"/>
      <c r="AK340" s="44">
        <f t="shared" si="18"/>
        <v>1.502</v>
      </c>
    </row>
    <row r="341" spans="2:37" ht="12.75" customHeight="1">
      <c r="B341" s="26">
        <f t="shared" si="19"/>
        <v>333</v>
      </c>
      <c r="C341" s="86" t="s">
        <v>470</v>
      </c>
      <c r="D341" s="39"/>
      <c r="E341" s="53">
        <f>TRUNC((15.167-1)/1+1.9)</f>
        <v>16</v>
      </c>
      <c r="F341" s="139">
        <v>5</v>
      </c>
      <c r="G341" s="122" t="s">
        <v>57</v>
      </c>
      <c r="H341" s="154">
        <f>0.25*40</f>
        <v>10</v>
      </c>
      <c r="I341" s="55">
        <f t="shared" si="20"/>
        <v>166.88</v>
      </c>
      <c r="J341" s="59"/>
      <c r="K341" s="4"/>
      <c r="L341" s="4"/>
      <c r="M341" s="4"/>
      <c r="N341" s="4"/>
      <c r="O341" s="4"/>
      <c r="P341" s="4"/>
      <c r="Q341" s="4"/>
      <c r="AK341" s="44">
        <f t="shared" si="18"/>
        <v>1.0429999999999999</v>
      </c>
    </row>
    <row r="342" spans="2:37" ht="12.75" customHeight="1">
      <c r="B342" s="26">
        <f t="shared" si="19"/>
        <v>334</v>
      </c>
      <c r="C342" s="98" t="s">
        <v>502</v>
      </c>
      <c r="D342" s="53"/>
      <c r="E342" s="53"/>
      <c r="F342" s="53"/>
      <c r="G342" s="122"/>
      <c r="H342" s="154"/>
      <c r="I342" s="55">
        <f t="shared" si="20"/>
        <v>0</v>
      </c>
      <c r="J342" s="59"/>
      <c r="K342" s="4"/>
      <c r="L342" s="4"/>
      <c r="M342" s="4"/>
      <c r="N342" s="4"/>
      <c r="O342" s="4"/>
      <c r="P342" s="4"/>
      <c r="Q342" s="4"/>
      <c r="AK342" s="44">
        <f t="shared" si="18"/>
        <v>0</v>
      </c>
    </row>
    <row r="343" spans="2:37" ht="12.75" customHeight="1">
      <c r="B343" s="26">
        <f t="shared" si="19"/>
        <v>335</v>
      </c>
      <c r="C343" s="86" t="s">
        <v>470</v>
      </c>
      <c r="D343" s="53"/>
      <c r="E343" s="53">
        <f>TRUNC((7.167-0.5)/1+1.9)</f>
        <v>8</v>
      </c>
      <c r="F343" s="53">
        <v>5</v>
      </c>
      <c r="G343" s="122" t="s">
        <v>57</v>
      </c>
      <c r="H343" s="154">
        <f>0.35*18</f>
        <v>6.3</v>
      </c>
      <c r="I343" s="55">
        <f t="shared" si="20"/>
        <v>52.567199999999993</v>
      </c>
      <c r="J343" s="59"/>
      <c r="K343" s="4"/>
      <c r="L343" s="4"/>
      <c r="M343" s="4"/>
      <c r="N343" s="4"/>
      <c r="O343" s="4"/>
      <c r="P343" s="4"/>
      <c r="Q343" s="4"/>
      <c r="AK343" s="44">
        <f t="shared" si="18"/>
        <v>1.0429999999999999</v>
      </c>
    </row>
    <row r="344" spans="2:37" ht="12.75" customHeight="1">
      <c r="B344" s="26">
        <f t="shared" si="19"/>
        <v>336</v>
      </c>
      <c r="C344" s="86" t="s">
        <v>467</v>
      </c>
      <c r="D344" s="53"/>
      <c r="E344" s="53">
        <f>TRUNC((7.167-0.5)/1+1.9)</f>
        <v>8</v>
      </c>
      <c r="F344" s="53">
        <v>8</v>
      </c>
      <c r="G344" s="122" t="s">
        <v>57</v>
      </c>
      <c r="H344" s="154">
        <f>0.35*25.5</f>
        <v>8.9249999999999989</v>
      </c>
      <c r="I344" s="55">
        <f t="shared" si="20"/>
        <v>190.63799999999998</v>
      </c>
      <c r="J344" s="59"/>
      <c r="K344" s="4"/>
      <c r="L344" s="4"/>
      <c r="M344" s="4"/>
      <c r="N344" s="4"/>
      <c r="O344" s="4"/>
      <c r="P344" s="4"/>
      <c r="Q344" s="4"/>
      <c r="AK344" s="44">
        <f t="shared" si="18"/>
        <v>2.67</v>
      </c>
    </row>
    <row r="345" spans="2:37" ht="12.75" customHeight="1">
      <c r="B345" s="26">
        <f t="shared" si="19"/>
        <v>337</v>
      </c>
      <c r="C345" s="86" t="s">
        <v>469</v>
      </c>
      <c r="D345" s="53"/>
      <c r="E345" s="53">
        <f>TRUNC((9-1)/0.83+1.9)</f>
        <v>11</v>
      </c>
      <c r="F345" s="53">
        <v>7</v>
      </c>
      <c r="G345" s="122" t="s">
        <v>57</v>
      </c>
      <c r="H345" s="154">
        <f>0.35*25.5</f>
        <v>8.9249999999999989</v>
      </c>
      <c r="I345" s="55">
        <f t="shared" si="20"/>
        <v>200.66969999999998</v>
      </c>
      <c r="J345" s="59"/>
      <c r="K345" s="4"/>
      <c r="L345" s="4"/>
      <c r="M345" s="4"/>
      <c r="N345" s="4"/>
      <c r="O345" s="4"/>
      <c r="P345" s="4"/>
      <c r="Q345" s="4"/>
      <c r="AK345" s="44">
        <f t="shared" si="18"/>
        <v>2.044</v>
      </c>
    </row>
    <row r="346" spans="2:37" ht="12.75" customHeight="1">
      <c r="B346" s="26">
        <f t="shared" si="19"/>
        <v>338</v>
      </c>
      <c r="C346" s="86" t="s">
        <v>465</v>
      </c>
      <c r="D346" s="53"/>
      <c r="E346" s="53">
        <f>TRUNC((7-1)/1+1.9)</f>
        <v>7</v>
      </c>
      <c r="F346" s="53">
        <v>6</v>
      </c>
      <c r="G346" s="122" t="s">
        <v>57</v>
      </c>
      <c r="H346" s="154">
        <f>0.35*21.167</f>
        <v>7.4084500000000002</v>
      </c>
      <c r="I346" s="55">
        <f t="shared" si="20"/>
        <v>77.892443300000011</v>
      </c>
      <c r="J346" s="59"/>
      <c r="K346" s="4"/>
      <c r="M346" s="4"/>
      <c r="N346" s="4"/>
      <c r="O346" s="4"/>
      <c r="P346" s="4"/>
      <c r="Q346" s="4"/>
      <c r="AK346" s="44">
        <f t="shared" si="18"/>
        <v>1.502</v>
      </c>
    </row>
    <row r="347" spans="2:37" ht="12.75" customHeight="1">
      <c r="B347" s="26">
        <f t="shared" si="19"/>
        <v>339</v>
      </c>
      <c r="C347" s="86" t="s">
        <v>468</v>
      </c>
      <c r="D347" s="39"/>
      <c r="E347" s="53">
        <f>TRUNC((8.25-1)/1+1.9)</f>
        <v>9</v>
      </c>
      <c r="F347" s="139">
        <v>7</v>
      </c>
      <c r="G347" s="122" t="s">
        <v>57</v>
      </c>
      <c r="H347" s="27">
        <f>0.35*27.58</f>
        <v>9.6529999999999987</v>
      </c>
      <c r="I347" s="55">
        <f t="shared" si="20"/>
        <v>177.57658799999996</v>
      </c>
      <c r="J347" s="59"/>
      <c r="K347" s="4"/>
      <c r="L347" s="4"/>
      <c r="M347" s="4"/>
      <c r="N347" s="4"/>
      <c r="O347" s="4"/>
      <c r="P347" s="4"/>
      <c r="Q347" s="4"/>
      <c r="AK347" s="44">
        <f t="shared" si="18"/>
        <v>2.044</v>
      </c>
    </row>
    <row r="348" spans="2:37" ht="12.75" customHeight="1">
      <c r="B348" s="26">
        <f t="shared" si="19"/>
        <v>340</v>
      </c>
      <c r="C348" s="86" t="s">
        <v>470</v>
      </c>
      <c r="D348" s="39"/>
      <c r="E348" s="53">
        <f>TRUNC((8.25-1)/1+1.9)</f>
        <v>9</v>
      </c>
      <c r="F348" s="139">
        <v>5</v>
      </c>
      <c r="G348" s="122" t="s">
        <v>57</v>
      </c>
      <c r="H348" s="27">
        <f>0.35*27.58</f>
        <v>9.6529999999999987</v>
      </c>
      <c r="I348" s="55">
        <f t="shared" si="20"/>
        <v>90.612710999999976</v>
      </c>
      <c r="J348" s="59"/>
      <c r="K348" s="4"/>
      <c r="L348" s="4"/>
      <c r="M348" s="4"/>
      <c r="N348" s="4"/>
      <c r="O348" s="4"/>
      <c r="P348" s="4"/>
      <c r="Q348" s="4"/>
      <c r="AK348" s="44">
        <f t="shared" si="18"/>
        <v>1.0429999999999999</v>
      </c>
    </row>
    <row r="349" spans="2:37" ht="12.75" customHeight="1">
      <c r="B349" s="26">
        <f t="shared" si="19"/>
        <v>341</v>
      </c>
      <c r="C349" s="98" t="s">
        <v>487</v>
      </c>
      <c r="D349" s="39"/>
      <c r="E349" s="39"/>
      <c r="F349" s="139"/>
      <c r="G349" s="122"/>
      <c r="H349" s="27"/>
      <c r="I349" s="55">
        <f t="shared" si="20"/>
        <v>0</v>
      </c>
      <c r="J349" s="59"/>
      <c r="K349" s="4"/>
      <c r="L349" s="4"/>
      <c r="M349" s="4"/>
      <c r="N349" s="4"/>
      <c r="O349" s="4"/>
      <c r="P349" s="4"/>
      <c r="Q349" s="4"/>
      <c r="AK349" s="44">
        <f t="shared" si="18"/>
        <v>0</v>
      </c>
    </row>
    <row r="350" spans="2:37" ht="12.75" customHeight="1">
      <c r="B350" s="26">
        <f t="shared" si="19"/>
        <v>342</v>
      </c>
      <c r="C350" s="86" t="s">
        <v>470</v>
      </c>
      <c r="D350" s="53"/>
      <c r="E350" s="53">
        <f>TRUNC((14.5-1)/1+1.9)</f>
        <v>15</v>
      </c>
      <c r="F350" s="53">
        <v>5</v>
      </c>
      <c r="G350" s="122" t="s">
        <v>57</v>
      </c>
      <c r="H350" s="154">
        <f>0.25*21.67</f>
        <v>5.4175000000000004</v>
      </c>
      <c r="I350" s="55">
        <f t="shared" si="20"/>
        <v>84.756787500000002</v>
      </c>
      <c r="J350" s="59"/>
      <c r="L350" s="4"/>
      <c r="M350" s="4"/>
      <c r="N350" s="4"/>
      <c r="O350" s="4"/>
      <c r="P350" s="4"/>
      <c r="Q350" s="4"/>
      <c r="AK350" s="44">
        <f t="shared" si="18"/>
        <v>1.0429999999999999</v>
      </c>
    </row>
    <row r="351" spans="2:37" ht="12.75" customHeight="1">
      <c r="B351" s="26">
        <f t="shared" si="19"/>
        <v>343</v>
      </c>
      <c r="C351" s="86" t="s">
        <v>465</v>
      </c>
      <c r="D351" s="53"/>
      <c r="E351" s="53">
        <f>TRUNC((20-1)/1+1.9)</f>
        <v>20</v>
      </c>
      <c r="F351" s="53">
        <v>6</v>
      </c>
      <c r="G351" s="122" t="s">
        <v>57</v>
      </c>
      <c r="H351" s="154">
        <f>21.75</f>
        <v>21.75</v>
      </c>
      <c r="I351" s="55">
        <f t="shared" si="20"/>
        <v>653.37</v>
      </c>
      <c r="J351" s="59"/>
      <c r="K351" s="4"/>
      <c r="L351" s="4"/>
      <c r="M351" s="4"/>
      <c r="N351" s="4"/>
      <c r="O351" s="4"/>
      <c r="P351" s="4"/>
      <c r="Q351" s="4"/>
      <c r="AK351" s="44">
        <f t="shared" si="18"/>
        <v>1.502</v>
      </c>
    </row>
    <row r="352" spans="2:37" ht="12.75" customHeight="1">
      <c r="B352" s="26">
        <f t="shared" si="19"/>
        <v>344</v>
      </c>
      <c r="C352" s="86" t="s">
        <v>470</v>
      </c>
      <c r="D352" s="53"/>
      <c r="E352" s="53">
        <f>TRUNC((15-1)/1+1.9)</f>
        <v>15</v>
      </c>
      <c r="F352" s="53">
        <v>5</v>
      </c>
      <c r="G352" s="122" t="s">
        <v>57</v>
      </c>
      <c r="H352" s="154">
        <f>0.25*27.83</f>
        <v>6.9574999999999996</v>
      </c>
      <c r="I352" s="55">
        <f t="shared" si="20"/>
        <v>108.85008749999999</v>
      </c>
      <c r="J352" s="59"/>
      <c r="K352" s="4"/>
      <c r="L352" s="4"/>
      <c r="M352" s="4"/>
      <c r="N352" s="4"/>
      <c r="O352" s="4"/>
      <c r="P352" s="4"/>
      <c r="Q352" s="4"/>
      <c r="AK352" s="44">
        <f t="shared" si="18"/>
        <v>1.0429999999999999</v>
      </c>
    </row>
    <row r="353" spans="2:37" ht="12.75" customHeight="1">
      <c r="B353" s="26">
        <f t="shared" si="19"/>
        <v>345</v>
      </c>
      <c r="C353" s="98" t="s">
        <v>504</v>
      </c>
      <c r="D353" s="53"/>
      <c r="E353" s="53"/>
      <c r="F353" s="53"/>
      <c r="G353" s="122"/>
      <c r="H353" s="154"/>
      <c r="I353" s="55">
        <f t="shared" si="20"/>
        <v>0</v>
      </c>
      <c r="J353" s="59"/>
      <c r="L353" s="4"/>
      <c r="M353" s="4"/>
      <c r="N353" s="4"/>
      <c r="O353" s="4"/>
      <c r="P353" s="4"/>
      <c r="Q353" s="4"/>
      <c r="AK353" s="44">
        <f t="shared" si="18"/>
        <v>0</v>
      </c>
    </row>
    <row r="354" spans="2:37" ht="12.75" customHeight="1">
      <c r="B354" s="26">
        <f t="shared" si="19"/>
        <v>346</v>
      </c>
      <c r="C354" s="86" t="s">
        <v>470</v>
      </c>
      <c r="D354" s="53"/>
      <c r="E354" s="53">
        <f>TRUNC((16.33-0.5)/1+1.9)</f>
        <v>17</v>
      </c>
      <c r="F354" s="53">
        <v>5</v>
      </c>
      <c r="G354" s="122" t="s">
        <v>57</v>
      </c>
      <c r="H354" s="154">
        <f>0.35*27.75</f>
        <v>9.7124999999999986</v>
      </c>
      <c r="I354" s="55">
        <f t="shared" si="20"/>
        <v>172.21233749999996</v>
      </c>
      <c r="J354" s="59"/>
      <c r="K354" s="4"/>
      <c r="L354" s="4"/>
      <c r="M354" s="4"/>
      <c r="N354" s="4"/>
      <c r="O354" s="4"/>
      <c r="P354" s="4"/>
      <c r="Q354" s="4"/>
      <c r="AK354" s="44">
        <f t="shared" si="18"/>
        <v>1.0429999999999999</v>
      </c>
    </row>
    <row r="355" spans="2:37" ht="12.75" customHeight="1">
      <c r="B355" s="26">
        <f t="shared" si="19"/>
        <v>347</v>
      </c>
      <c r="C355" s="86" t="s">
        <v>470</v>
      </c>
      <c r="D355" s="53"/>
      <c r="E355" s="53">
        <f>TRUNC((16.33-0.5)/1+1.9)</f>
        <v>17</v>
      </c>
      <c r="F355" s="53">
        <v>5</v>
      </c>
      <c r="G355" s="122" t="s">
        <v>57</v>
      </c>
      <c r="H355" s="154">
        <f>0.35*27.75</f>
        <v>9.7124999999999986</v>
      </c>
      <c r="I355" s="55">
        <f t="shared" si="20"/>
        <v>172.21233749999996</v>
      </c>
      <c r="J355" s="59"/>
      <c r="K355" s="4"/>
      <c r="L355" s="4"/>
      <c r="M355" s="4"/>
      <c r="N355" s="4"/>
      <c r="O355" s="4"/>
      <c r="P355" s="4"/>
      <c r="Q355" s="4"/>
      <c r="AK355" s="44">
        <f t="shared" si="18"/>
        <v>1.0429999999999999</v>
      </c>
    </row>
    <row r="356" spans="2:37" ht="12.75" customHeight="1">
      <c r="B356" s="26">
        <f t="shared" si="19"/>
        <v>348</v>
      </c>
      <c r="C356" s="86" t="s">
        <v>470</v>
      </c>
      <c r="D356" s="53"/>
      <c r="E356" s="53">
        <f>TRUNC((4-0.5)/1+1.9)</f>
        <v>5</v>
      </c>
      <c r="F356" s="53">
        <v>5</v>
      </c>
      <c r="G356" s="122" t="s">
        <v>57</v>
      </c>
      <c r="H356" s="154">
        <f>0.35*29</f>
        <v>10.149999999999999</v>
      </c>
      <c r="I356" s="55">
        <f t="shared" si="20"/>
        <v>52.932249999999989</v>
      </c>
      <c r="J356" s="59"/>
      <c r="K356" s="4"/>
      <c r="L356" s="4"/>
      <c r="M356" s="4"/>
      <c r="N356" s="4"/>
      <c r="O356" s="4"/>
      <c r="P356" s="4"/>
      <c r="Q356" s="4"/>
      <c r="AK356" s="44">
        <f t="shared" si="18"/>
        <v>1.0429999999999999</v>
      </c>
    </row>
    <row r="357" spans="2:37" ht="12.75" customHeight="1">
      <c r="B357" s="26">
        <f t="shared" si="19"/>
        <v>349</v>
      </c>
      <c r="C357" s="162" t="s">
        <v>509</v>
      </c>
      <c r="D357" s="39"/>
      <c r="E357" s="53"/>
      <c r="F357" s="139"/>
      <c r="G357" s="122"/>
      <c r="H357" s="154"/>
      <c r="I357" s="55">
        <f t="shared" si="20"/>
        <v>0</v>
      </c>
      <c r="J357" s="59"/>
      <c r="K357" s="4"/>
      <c r="L357" s="4"/>
      <c r="M357" s="4"/>
      <c r="N357" s="4"/>
      <c r="O357" s="4"/>
      <c r="P357" s="4"/>
      <c r="Q357" s="4"/>
      <c r="AK357" s="44">
        <f t="shared" si="18"/>
        <v>0</v>
      </c>
    </row>
    <row r="358" spans="2:37" ht="12.75" customHeight="1">
      <c r="B358" s="26">
        <f t="shared" si="19"/>
        <v>350</v>
      </c>
      <c r="C358" s="98" t="s">
        <v>506</v>
      </c>
      <c r="D358" s="39"/>
      <c r="E358" s="82"/>
      <c r="F358" s="139"/>
      <c r="G358" s="122"/>
      <c r="H358" s="27"/>
      <c r="I358" s="55">
        <f t="shared" si="20"/>
        <v>0</v>
      </c>
      <c r="J358" s="59"/>
      <c r="K358" s="4"/>
      <c r="L358" s="4"/>
      <c r="M358" s="4"/>
      <c r="N358" s="4"/>
      <c r="O358" s="4"/>
      <c r="P358" s="4"/>
      <c r="Q358" s="4"/>
      <c r="AK358" s="44">
        <f t="shared" si="18"/>
        <v>0</v>
      </c>
    </row>
    <row r="359" spans="2:37" ht="12.75" customHeight="1">
      <c r="B359" s="26">
        <f t="shared" si="19"/>
        <v>351</v>
      </c>
      <c r="C359" s="86" t="s">
        <v>465</v>
      </c>
      <c r="D359" s="39"/>
      <c r="E359" s="53">
        <f>TRUNC((18.5-0.08)/1+1.9)</f>
        <v>20</v>
      </c>
      <c r="F359" s="53">
        <v>6</v>
      </c>
      <c r="G359" s="122" t="s">
        <v>57</v>
      </c>
      <c r="H359" s="154">
        <f>0.35*23.33</f>
        <v>8.1654999999999998</v>
      </c>
      <c r="I359" s="55">
        <f t="shared" si="20"/>
        <v>245.29161999999999</v>
      </c>
      <c r="J359" s="59"/>
      <c r="K359" s="4"/>
      <c r="L359" s="4"/>
      <c r="M359" s="4"/>
      <c r="N359" s="4"/>
      <c r="O359" s="4"/>
      <c r="P359" s="4"/>
      <c r="Q359" s="4"/>
      <c r="AK359" s="44">
        <f t="shared" si="18"/>
        <v>1.502</v>
      </c>
    </row>
    <row r="360" spans="2:37" ht="12.75" customHeight="1">
      <c r="B360" s="26">
        <f t="shared" si="19"/>
        <v>352</v>
      </c>
      <c r="C360" s="86" t="s">
        <v>475</v>
      </c>
      <c r="D360" s="39"/>
      <c r="E360" s="53">
        <f>TRUNC((18.5-0.08)/0.83+1.9)</f>
        <v>24</v>
      </c>
      <c r="F360" s="53">
        <v>9</v>
      </c>
      <c r="G360" s="122" t="s">
        <v>57</v>
      </c>
      <c r="H360" s="154">
        <f>0.35*23.33</f>
        <v>8.1654999999999998</v>
      </c>
      <c r="I360" s="55">
        <f t="shared" si="20"/>
        <v>666.3048</v>
      </c>
      <c r="J360" s="59"/>
      <c r="K360" s="4"/>
      <c r="L360" s="4"/>
      <c r="M360" s="4"/>
      <c r="N360" s="4"/>
      <c r="O360" s="4"/>
      <c r="P360" s="4"/>
      <c r="Q360" s="4"/>
      <c r="AK360" s="44">
        <f t="shared" si="18"/>
        <v>3.4</v>
      </c>
    </row>
    <row r="361" spans="2:37" ht="12.75" customHeight="1">
      <c r="B361" s="26">
        <f t="shared" si="19"/>
        <v>353</v>
      </c>
      <c r="C361" s="86" t="s">
        <v>468</v>
      </c>
      <c r="D361" s="39"/>
      <c r="E361" s="53">
        <f>TRUNC((7.58-0.08)/1+1.9)</f>
        <v>9</v>
      </c>
      <c r="F361" s="53">
        <v>7</v>
      </c>
      <c r="G361" s="122" t="s">
        <v>57</v>
      </c>
      <c r="H361" s="154">
        <f>0.35*23.33</f>
        <v>8.1654999999999998</v>
      </c>
      <c r="I361" s="55">
        <f t="shared" si="20"/>
        <v>150.212538</v>
      </c>
      <c r="J361" s="59"/>
      <c r="K361" s="4"/>
      <c r="M361" s="4"/>
      <c r="N361" s="4"/>
      <c r="O361" s="4"/>
      <c r="P361" s="4"/>
      <c r="Q361" s="4"/>
      <c r="AK361" s="44">
        <f t="shared" si="18"/>
        <v>2.044</v>
      </c>
    </row>
    <row r="362" spans="2:37" ht="12.75" customHeight="1">
      <c r="B362" s="26">
        <f t="shared" si="19"/>
        <v>354</v>
      </c>
      <c r="C362" s="86" t="s">
        <v>467</v>
      </c>
      <c r="D362" s="39"/>
      <c r="E362" s="53">
        <f>TRUNC((7.58-0.08)/1+1.9)</f>
        <v>9</v>
      </c>
      <c r="F362" s="53">
        <v>8</v>
      </c>
      <c r="G362" s="122" t="s">
        <v>57</v>
      </c>
      <c r="H362" s="154">
        <f>0.35*34.67</f>
        <v>12.134499999999999</v>
      </c>
      <c r="I362" s="55">
        <f t="shared" si="20"/>
        <v>291.59203499999995</v>
      </c>
      <c r="J362" s="59"/>
      <c r="K362" s="4"/>
      <c r="L362" s="4"/>
      <c r="M362" s="4"/>
      <c r="N362" s="4"/>
      <c r="O362" s="4"/>
      <c r="P362" s="4"/>
      <c r="Q362" s="4"/>
      <c r="AK362" s="44">
        <f t="shared" si="18"/>
        <v>2.67</v>
      </c>
    </row>
    <row r="363" spans="2:37" ht="12.75" customHeight="1">
      <c r="B363" s="26">
        <f t="shared" si="19"/>
        <v>355</v>
      </c>
      <c r="C363" s="98" t="s">
        <v>487</v>
      </c>
      <c r="D363" s="39"/>
      <c r="E363" s="53"/>
      <c r="F363" s="139"/>
      <c r="G363" s="122"/>
      <c r="H363" s="154"/>
      <c r="I363" s="55">
        <f t="shared" si="20"/>
        <v>0</v>
      </c>
      <c r="J363" s="59"/>
      <c r="K363" s="4"/>
      <c r="L363" s="4"/>
      <c r="M363" s="4"/>
      <c r="N363" s="4"/>
      <c r="O363" s="4"/>
      <c r="P363" s="4"/>
      <c r="Q363" s="4"/>
      <c r="AK363" s="44">
        <f t="shared" si="18"/>
        <v>0</v>
      </c>
    </row>
    <row r="364" spans="2:37" ht="12.75" customHeight="1">
      <c r="B364" s="26">
        <f t="shared" si="19"/>
        <v>356</v>
      </c>
      <c r="C364" s="86" t="s">
        <v>468</v>
      </c>
      <c r="D364" s="39"/>
      <c r="E364" s="53">
        <f>TRUNC((7-0.5)/1+1.9)</f>
        <v>8</v>
      </c>
      <c r="F364" s="53">
        <v>7</v>
      </c>
      <c r="G364" s="122" t="s">
        <v>57</v>
      </c>
      <c r="H364" s="154">
        <f>0.25*23.33</f>
        <v>5.8324999999999996</v>
      </c>
      <c r="I364" s="55">
        <f t="shared" si="20"/>
        <v>95.373039999999989</v>
      </c>
      <c r="J364" s="59"/>
      <c r="L364" s="4"/>
      <c r="M364" s="4"/>
      <c r="N364" s="4"/>
      <c r="O364" s="4"/>
      <c r="P364" s="4"/>
      <c r="Q364" s="4"/>
      <c r="AK364" s="44">
        <f t="shared" si="18"/>
        <v>2.044</v>
      </c>
    </row>
    <row r="365" spans="2:37" ht="12.75" customHeight="1">
      <c r="B365" s="26">
        <f t="shared" si="19"/>
        <v>357</v>
      </c>
      <c r="C365" s="86" t="s">
        <v>465</v>
      </c>
      <c r="D365" s="39"/>
      <c r="E365" s="53">
        <f>TRUNC((7-0.5)/1+1.9)</f>
        <v>8</v>
      </c>
      <c r="F365" s="53">
        <v>6</v>
      </c>
      <c r="G365" s="122" t="s">
        <v>57</v>
      </c>
      <c r="H365" s="154">
        <f>0.25*23.33</f>
        <v>5.8324999999999996</v>
      </c>
      <c r="I365" s="55">
        <f t="shared" si="20"/>
        <v>70.083320000000001</v>
      </c>
      <c r="J365" s="59"/>
      <c r="K365" s="4"/>
      <c r="L365" s="4"/>
      <c r="M365" s="4"/>
      <c r="N365" s="4"/>
      <c r="O365" s="4"/>
      <c r="P365" s="4"/>
      <c r="Q365" s="4"/>
      <c r="AK365" s="44">
        <f t="shared" si="18"/>
        <v>1.502</v>
      </c>
    </row>
    <row r="366" spans="2:37" ht="12.75" customHeight="1">
      <c r="B366" s="26">
        <f t="shared" si="19"/>
        <v>358</v>
      </c>
      <c r="C366" s="98" t="s">
        <v>280</v>
      </c>
      <c r="D366" s="39"/>
      <c r="E366" s="53"/>
      <c r="F366" s="53"/>
      <c r="G366" s="122"/>
      <c r="H366" s="154"/>
      <c r="I366" s="55">
        <f t="shared" si="20"/>
        <v>0</v>
      </c>
      <c r="J366" s="59"/>
      <c r="K366" s="4"/>
      <c r="L366" s="4"/>
      <c r="M366" s="4"/>
      <c r="N366" s="4"/>
      <c r="O366" s="4"/>
      <c r="P366" s="4"/>
      <c r="Q366" s="4"/>
      <c r="AK366" s="44">
        <f t="shared" si="18"/>
        <v>0</v>
      </c>
    </row>
    <row r="367" spans="2:37" ht="12.75" customHeight="1">
      <c r="B367" s="26">
        <f t="shared" si="19"/>
        <v>359</v>
      </c>
      <c r="C367" s="86" t="s">
        <v>508</v>
      </c>
      <c r="D367" s="39"/>
      <c r="E367" s="53">
        <f>TRUNC((5-0.5)/0.83+1.9)</f>
        <v>7</v>
      </c>
      <c r="F367" s="53">
        <v>8</v>
      </c>
      <c r="G367" s="122" t="s">
        <v>57</v>
      </c>
      <c r="H367" s="154">
        <f>0.35*23.33</f>
        <v>8.1654999999999998</v>
      </c>
      <c r="I367" s="55">
        <f t="shared" si="20"/>
        <v>152.61319499999999</v>
      </c>
      <c r="J367" s="59"/>
      <c r="K367" s="4"/>
      <c r="L367" s="4"/>
      <c r="M367" s="4"/>
      <c r="N367" s="4"/>
      <c r="O367" s="4"/>
      <c r="P367" s="4"/>
      <c r="Q367" s="4"/>
      <c r="AK367" s="44">
        <f t="shared" si="18"/>
        <v>2.67</v>
      </c>
    </row>
    <row r="368" spans="2:37" ht="12.75" customHeight="1">
      <c r="B368" s="26">
        <f t="shared" si="19"/>
        <v>360</v>
      </c>
      <c r="C368" s="86" t="s">
        <v>465</v>
      </c>
      <c r="D368" s="39"/>
      <c r="E368" s="53">
        <f>TRUNC((5-0.5)/1+1.9)</f>
        <v>6</v>
      </c>
      <c r="F368" s="53">
        <v>6</v>
      </c>
      <c r="G368" s="122" t="s">
        <v>57</v>
      </c>
      <c r="H368" s="154">
        <f>0.35*23.33+9</f>
        <v>17.165500000000002</v>
      </c>
      <c r="I368" s="55">
        <f t="shared" si="20"/>
        <v>154.69548600000002</v>
      </c>
      <c r="J368" s="59"/>
      <c r="K368" s="4"/>
      <c r="L368" s="4"/>
      <c r="M368" s="4"/>
      <c r="N368" s="4"/>
      <c r="O368" s="4"/>
      <c r="P368" s="4"/>
      <c r="Q368" s="4"/>
      <c r="AK368" s="44">
        <f t="shared" si="18"/>
        <v>1.502</v>
      </c>
    </row>
    <row r="369" spans="2:37" ht="12.75" customHeight="1">
      <c r="B369" s="26">
        <f t="shared" si="19"/>
        <v>361</v>
      </c>
      <c r="C369" s="87" t="s">
        <v>510</v>
      </c>
      <c r="D369" s="39"/>
      <c r="E369" s="39"/>
      <c r="F369" s="139"/>
      <c r="G369" s="122"/>
      <c r="H369" s="27"/>
      <c r="I369" s="55">
        <f t="shared" si="20"/>
        <v>0</v>
      </c>
      <c r="J369" s="59"/>
      <c r="K369" s="4"/>
      <c r="M369" s="4"/>
      <c r="N369" s="4"/>
      <c r="O369" s="4"/>
      <c r="P369" s="4"/>
      <c r="Q369" s="4"/>
      <c r="AK369" s="44">
        <f t="shared" si="18"/>
        <v>0</v>
      </c>
    </row>
    <row r="370" spans="2:37" ht="12.75" customHeight="1">
      <c r="B370" s="26">
        <f t="shared" si="19"/>
        <v>362</v>
      </c>
      <c r="C370" s="97" t="s">
        <v>511</v>
      </c>
      <c r="D370" s="39"/>
      <c r="E370" s="39">
        <f>TRUNC((3.5-0.083*2)/1+1.9)</f>
        <v>5</v>
      </c>
      <c r="F370" s="139">
        <v>4</v>
      </c>
      <c r="G370" s="122" t="s">
        <v>57</v>
      </c>
      <c r="H370" s="27">
        <f>27.5-0.083*2</f>
        <v>27.334</v>
      </c>
      <c r="I370" s="55">
        <f t="shared" si="20"/>
        <v>91.295560000000009</v>
      </c>
      <c r="J370" s="59"/>
      <c r="K370" s="4"/>
      <c r="L370" s="4"/>
      <c r="M370" s="4"/>
      <c r="N370" s="4"/>
      <c r="O370" s="4"/>
      <c r="P370" s="4"/>
      <c r="Q370" s="4"/>
      <c r="AK370" s="44">
        <f t="shared" si="18"/>
        <v>0.66800000000000004</v>
      </c>
    </row>
    <row r="371" spans="2:37" ht="12.75" customHeight="1">
      <c r="B371" s="26">
        <f t="shared" si="19"/>
        <v>363</v>
      </c>
      <c r="C371" s="97" t="s">
        <v>512</v>
      </c>
      <c r="D371" s="39"/>
      <c r="E371" s="39">
        <f>TRUNC((27.5-0.083*2)/1+1.9)</f>
        <v>29</v>
      </c>
      <c r="F371" s="139">
        <v>4</v>
      </c>
      <c r="G371" s="122" t="s">
        <v>57</v>
      </c>
      <c r="H371" s="27">
        <f>3.5-0.083*2</f>
        <v>3.3340000000000001</v>
      </c>
      <c r="I371" s="55">
        <f t="shared" si="20"/>
        <v>64.586247999999998</v>
      </c>
      <c r="J371" s="59"/>
      <c r="K371" s="4"/>
      <c r="L371" s="4"/>
      <c r="M371" s="4"/>
      <c r="N371" s="4"/>
      <c r="O371" s="4"/>
      <c r="P371" s="4"/>
      <c r="Q371" s="4"/>
      <c r="AK371" s="44">
        <f t="shared" si="18"/>
        <v>0.66800000000000004</v>
      </c>
    </row>
    <row r="372" spans="2:37" ht="12.75" customHeight="1">
      <c r="B372" s="26">
        <f t="shared" si="19"/>
        <v>364</v>
      </c>
      <c r="C372" s="97" t="s">
        <v>513</v>
      </c>
      <c r="D372" s="39"/>
      <c r="E372" s="39">
        <f>TRUNC((7.5-0.083*2)/1+1.9)</f>
        <v>9</v>
      </c>
      <c r="F372" s="139">
        <v>4</v>
      </c>
      <c r="G372" s="122" t="s">
        <v>57</v>
      </c>
      <c r="H372" s="27">
        <f>27.5-0.083*2</f>
        <v>27.334</v>
      </c>
      <c r="I372" s="55">
        <f t="shared" si="20"/>
        <v>164.33200800000003</v>
      </c>
      <c r="J372" s="59"/>
      <c r="L372" s="4"/>
      <c r="M372" s="4"/>
      <c r="N372" s="4"/>
      <c r="O372" s="4"/>
      <c r="P372" s="4"/>
      <c r="Q372" s="4"/>
      <c r="AK372" s="44">
        <f t="shared" si="18"/>
        <v>0.66800000000000004</v>
      </c>
    </row>
    <row r="373" spans="2:37" ht="12.75" customHeight="1">
      <c r="B373" s="26">
        <f t="shared" si="19"/>
        <v>365</v>
      </c>
      <c r="C373" s="97" t="s">
        <v>514</v>
      </c>
      <c r="D373" s="39"/>
      <c r="E373" s="39">
        <f>TRUNC((27.5-0.083*2)/1+1.9)</f>
        <v>29</v>
      </c>
      <c r="F373" s="139">
        <v>4</v>
      </c>
      <c r="G373" s="122" t="s">
        <v>57</v>
      </c>
      <c r="H373" s="27">
        <f>7.5-0.083*2</f>
        <v>7.3339999999999996</v>
      </c>
      <c r="I373" s="55">
        <f t="shared" si="20"/>
        <v>142.07424799999998</v>
      </c>
      <c r="J373" s="59"/>
      <c r="K373" s="4"/>
      <c r="L373" s="4"/>
      <c r="M373" s="4"/>
      <c r="N373" s="4"/>
      <c r="O373" s="4"/>
      <c r="P373" s="4"/>
      <c r="Q373" s="4"/>
      <c r="AK373" s="44">
        <f t="shared" si="18"/>
        <v>0.66800000000000004</v>
      </c>
    </row>
    <row r="374" spans="2:37" ht="12.75" customHeight="1">
      <c r="B374" s="26">
        <f t="shared" si="19"/>
        <v>366</v>
      </c>
      <c r="C374" s="87" t="s">
        <v>515</v>
      </c>
      <c r="D374" s="39"/>
      <c r="E374" s="39"/>
      <c r="F374" s="139"/>
      <c r="G374" s="122"/>
      <c r="H374" s="27"/>
      <c r="I374" s="55">
        <f t="shared" si="20"/>
        <v>0</v>
      </c>
      <c r="J374" s="59"/>
      <c r="K374" s="4"/>
      <c r="L374" s="4"/>
      <c r="M374" s="4"/>
      <c r="N374" s="4"/>
      <c r="O374" s="4"/>
      <c r="P374" s="4"/>
      <c r="Q374" s="4"/>
      <c r="AK374" s="44">
        <f t="shared" si="18"/>
        <v>0</v>
      </c>
    </row>
    <row r="375" spans="2:37" ht="12.75" customHeight="1">
      <c r="B375" s="26">
        <f t="shared" si="19"/>
        <v>367</v>
      </c>
      <c r="C375" s="97" t="s">
        <v>127</v>
      </c>
      <c r="D375" s="39"/>
      <c r="E375" s="39">
        <f>TRUNC(65.5+48*4/1+1.9)</f>
        <v>259</v>
      </c>
      <c r="F375" s="139">
        <v>4</v>
      </c>
      <c r="G375" s="122" t="s">
        <v>65</v>
      </c>
      <c r="H375" s="27">
        <f>0.5+1.5</f>
        <v>2</v>
      </c>
      <c r="I375" s="55">
        <f t="shared" si="20"/>
        <v>346.024</v>
      </c>
      <c r="J375" s="59"/>
      <c r="L375" s="4"/>
      <c r="M375" s="4"/>
      <c r="N375" s="4"/>
      <c r="O375" s="4"/>
      <c r="P375" s="4"/>
      <c r="Q375" s="4"/>
      <c r="AK375" s="44">
        <f t="shared" si="18"/>
        <v>0.66800000000000004</v>
      </c>
    </row>
    <row r="376" spans="2:37" ht="12.75" customHeight="1">
      <c r="B376" s="26">
        <f t="shared" si="19"/>
        <v>368</v>
      </c>
      <c r="C376" s="97" t="s">
        <v>339</v>
      </c>
      <c r="D376" s="39">
        <v>6</v>
      </c>
      <c r="E376" s="39">
        <v>1</v>
      </c>
      <c r="F376" s="139">
        <v>4</v>
      </c>
      <c r="G376" s="122" t="s">
        <v>61</v>
      </c>
      <c r="H376" s="27">
        <v>40</v>
      </c>
      <c r="I376" s="55">
        <f t="shared" si="20"/>
        <v>160.32000000000002</v>
      </c>
      <c r="J376" s="59"/>
      <c r="K376" s="4"/>
      <c r="L376" s="4"/>
      <c r="M376" s="4"/>
      <c r="N376" s="4"/>
      <c r="O376" s="4"/>
      <c r="P376" s="4"/>
      <c r="Q376" s="4"/>
      <c r="AK376" s="44">
        <f t="shared" si="18"/>
        <v>0.66800000000000004</v>
      </c>
    </row>
    <row r="377" spans="2:37" ht="12.75" customHeight="1">
      <c r="B377" s="26">
        <f t="shared" si="19"/>
        <v>369</v>
      </c>
      <c r="C377" s="97" t="s">
        <v>339</v>
      </c>
      <c r="D377" s="39"/>
      <c r="E377" s="39">
        <v>1</v>
      </c>
      <c r="F377" s="139">
        <v>4</v>
      </c>
      <c r="G377" s="122" t="s">
        <v>57</v>
      </c>
      <c r="H377" s="27">
        <f>257.5-40*6+1.83</f>
        <v>19.329999999999998</v>
      </c>
      <c r="I377" s="55">
        <f t="shared" si="20"/>
        <v>12.91244</v>
      </c>
      <c r="J377" s="59"/>
      <c r="K377" s="4"/>
      <c r="L377" s="4"/>
      <c r="M377" s="4"/>
      <c r="N377" s="4"/>
      <c r="O377" s="4"/>
      <c r="P377" s="4"/>
      <c r="Q377" s="4"/>
      <c r="AK377" s="44">
        <f t="shared" si="18"/>
        <v>0.66800000000000004</v>
      </c>
    </row>
    <row r="378" spans="2:37" ht="12.75" customHeight="1">
      <c r="B378" s="26">
        <f t="shared" si="19"/>
        <v>370</v>
      </c>
      <c r="C378" s="87" t="s">
        <v>516</v>
      </c>
      <c r="D378" s="39"/>
      <c r="E378" s="39"/>
      <c r="F378" s="139"/>
      <c r="G378" s="122"/>
      <c r="H378" s="27"/>
      <c r="I378" s="55">
        <f t="shared" si="20"/>
        <v>0</v>
      </c>
      <c r="J378" s="59"/>
      <c r="K378" s="4"/>
      <c r="L378" s="4"/>
      <c r="M378" s="4"/>
      <c r="N378" s="4"/>
      <c r="O378" s="4"/>
      <c r="P378" s="4"/>
      <c r="Q378" s="4"/>
      <c r="AK378" s="44">
        <f t="shared" si="18"/>
        <v>0</v>
      </c>
    </row>
    <row r="379" spans="2:37" ht="12.75" customHeight="1">
      <c r="B379" s="26">
        <f t="shared" si="19"/>
        <v>371</v>
      </c>
      <c r="C379" s="97" t="s">
        <v>127</v>
      </c>
      <c r="D379" s="39"/>
      <c r="E379" s="39">
        <f>TRUNC(43/1+1.9)</f>
        <v>44</v>
      </c>
      <c r="F379" s="139">
        <v>4</v>
      </c>
      <c r="G379" s="122" t="s">
        <v>65</v>
      </c>
      <c r="H379" s="27">
        <v>3</v>
      </c>
      <c r="I379" s="55">
        <f t="shared" si="20"/>
        <v>88.176000000000002</v>
      </c>
      <c r="J379" s="59"/>
      <c r="K379" s="4"/>
      <c r="L379" s="4"/>
      <c r="M379" s="4"/>
      <c r="N379" s="4"/>
      <c r="O379" s="4"/>
      <c r="P379" s="4"/>
      <c r="Q379" s="4"/>
      <c r="AK379" s="44">
        <f t="shared" si="18"/>
        <v>0.66800000000000004</v>
      </c>
    </row>
    <row r="380" spans="2:37" ht="12.75" customHeight="1">
      <c r="B380" s="26">
        <f t="shared" si="19"/>
        <v>372</v>
      </c>
      <c r="C380" s="97" t="s">
        <v>339</v>
      </c>
      <c r="D380" s="39"/>
      <c r="E380" s="39">
        <v>1</v>
      </c>
      <c r="F380" s="139">
        <v>4</v>
      </c>
      <c r="G380" s="122" t="s">
        <v>61</v>
      </c>
      <c r="H380" s="27">
        <v>40</v>
      </c>
      <c r="I380" s="55">
        <f t="shared" si="20"/>
        <v>26.720000000000002</v>
      </c>
      <c r="J380" s="59"/>
      <c r="K380" s="4"/>
      <c r="L380" s="4"/>
      <c r="M380" s="4"/>
      <c r="N380" s="4"/>
      <c r="O380" s="4"/>
      <c r="P380" s="4"/>
      <c r="Q380" s="4"/>
      <c r="AK380" s="44">
        <f t="shared" si="18"/>
        <v>0.66800000000000004</v>
      </c>
    </row>
    <row r="381" spans="2:37" ht="12.75" customHeight="1">
      <c r="B381" s="26">
        <f t="shared" si="19"/>
        <v>373</v>
      </c>
      <c r="C381" s="97" t="s">
        <v>339</v>
      </c>
      <c r="D381" s="39"/>
      <c r="E381" s="39">
        <v>1</v>
      </c>
      <c r="F381" s="139">
        <v>4</v>
      </c>
      <c r="G381" s="122" t="s">
        <v>57</v>
      </c>
      <c r="H381" s="27">
        <f>53-40+1.83</f>
        <v>14.83</v>
      </c>
      <c r="I381" s="55">
        <f t="shared" si="20"/>
        <v>9.9064399999999999</v>
      </c>
      <c r="J381" s="59"/>
      <c r="K381" s="4"/>
      <c r="L381" s="4"/>
      <c r="M381" s="4"/>
      <c r="N381" s="4"/>
      <c r="O381" s="4"/>
      <c r="P381" s="4"/>
      <c r="Q381" s="4"/>
      <c r="AK381" s="44">
        <f t="shared" si="18"/>
        <v>0.66800000000000004</v>
      </c>
    </row>
    <row r="382" spans="2:37" ht="12.75" customHeight="1">
      <c r="B382" s="26">
        <f t="shared" si="19"/>
        <v>374</v>
      </c>
      <c r="C382" s="87" t="s">
        <v>517</v>
      </c>
      <c r="D382" s="39"/>
      <c r="E382" s="39"/>
      <c r="F382" s="139"/>
      <c r="G382" s="122"/>
      <c r="H382" s="27"/>
      <c r="I382" s="55">
        <f t="shared" si="20"/>
        <v>0</v>
      </c>
      <c r="J382" s="59"/>
      <c r="K382" s="4"/>
      <c r="L382" s="4"/>
      <c r="M382" s="4"/>
      <c r="N382" s="4"/>
      <c r="O382" s="4"/>
      <c r="P382" s="4"/>
      <c r="Q382" s="4"/>
      <c r="AK382" s="44">
        <f t="shared" si="18"/>
        <v>0</v>
      </c>
    </row>
    <row r="383" spans="2:37" ht="12.75" customHeight="1">
      <c r="B383" s="26">
        <f t="shared" si="19"/>
        <v>375</v>
      </c>
      <c r="C383" s="87" t="s">
        <v>518</v>
      </c>
      <c r="D383" s="39"/>
      <c r="E383" s="39"/>
      <c r="F383" s="139"/>
      <c r="G383" s="122"/>
      <c r="H383" s="27"/>
      <c r="I383" s="55">
        <f t="shared" si="20"/>
        <v>0</v>
      </c>
      <c r="J383" s="59"/>
      <c r="K383" s="4"/>
      <c r="M383" s="4"/>
      <c r="N383" s="4"/>
      <c r="O383" s="4"/>
      <c r="P383" s="4"/>
      <c r="Q383" s="4"/>
      <c r="AK383" s="44">
        <f t="shared" si="18"/>
        <v>0</v>
      </c>
    </row>
    <row r="384" spans="2:37" ht="12.75" customHeight="1">
      <c r="B384" s="26">
        <f t="shared" si="19"/>
        <v>376</v>
      </c>
      <c r="C384" s="97" t="s">
        <v>519</v>
      </c>
      <c r="D384" s="39"/>
      <c r="E384" s="39">
        <f>TRUNC(62/1.33+1.9)</f>
        <v>48</v>
      </c>
      <c r="F384" s="139">
        <v>4</v>
      </c>
      <c r="G384" s="122" t="s">
        <v>65</v>
      </c>
      <c r="H384" s="27">
        <f>1+(1.5-0.17)+(4)</f>
        <v>6.33</v>
      </c>
      <c r="I384" s="55">
        <f t="shared" si="20"/>
        <v>202.96512000000001</v>
      </c>
      <c r="J384" s="59"/>
      <c r="K384" s="4"/>
      <c r="L384" s="4"/>
      <c r="M384" s="4"/>
      <c r="N384" s="4"/>
      <c r="O384" s="4"/>
      <c r="P384" s="4"/>
      <c r="Q384" s="4"/>
      <c r="AK384" s="44">
        <f t="shared" si="18"/>
        <v>0.66800000000000004</v>
      </c>
    </row>
    <row r="385" spans="2:37" ht="12.75" customHeight="1">
      <c r="B385" s="26">
        <f t="shared" si="19"/>
        <v>377</v>
      </c>
      <c r="C385" s="87" t="s">
        <v>520</v>
      </c>
      <c r="D385" s="39"/>
      <c r="E385" s="39"/>
      <c r="F385" s="139"/>
      <c r="G385" s="122"/>
      <c r="H385" s="27"/>
      <c r="I385" s="55">
        <f t="shared" si="20"/>
        <v>0</v>
      </c>
      <c r="J385" s="59"/>
      <c r="K385" s="4"/>
      <c r="L385" s="4"/>
      <c r="M385" s="4"/>
      <c r="N385" s="4"/>
      <c r="O385" s="4"/>
      <c r="P385" s="4"/>
      <c r="Q385" s="4"/>
      <c r="AK385" s="44">
        <f t="shared" si="18"/>
        <v>0</v>
      </c>
    </row>
    <row r="386" spans="2:37" ht="12.75" customHeight="1">
      <c r="B386" s="26">
        <f t="shared" si="19"/>
        <v>378</v>
      </c>
      <c r="C386" s="97" t="s">
        <v>519</v>
      </c>
      <c r="D386" s="39"/>
      <c r="E386" s="39">
        <f>TRUNC(45.75/1.33+1.9)</f>
        <v>36</v>
      </c>
      <c r="F386" s="139">
        <v>4</v>
      </c>
      <c r="G386" s="122" t="s">
        <v>65</v>
      </c>
      <c r="H386" s="27">
        <f>1+(1.5-0.17)+(4)</f>
        <v>6.33</v>
      </c>
      <c r="I386" s="55">
        <f t="shared" si="20"/>
        <v>152.22384</v>
      </c>
      <c r="J386" s="59"/>
      <c r="K386" s="4"/>
      <c r="L386" s="4"/>
      <c r="M386" s="4"/>
      <c r="N386" s="4"/>
      <c r="O386" s="4"/>
      <c r="P386" s="4"/>
      <c r="Q386" s="4"/>
      <c r="AK386" s="44">
        <f t="shared" si="18"/>
        <v>0.66800000000000004</v>
      </c>
    </row>
    <row r="387" spans="2:37" ht="12.75" customHeight="1">
      <c r="B387" s="26">
        <f t="shared" si="19"/>
        <v>379</v>
      </c>
      <c r="C387" s="87" t="s">
        <v>521</v>
      </c>
      <c r="D387" s="39"/>
      <c r="E387" s="39"/>
      <c r="F387" s="139"/>
      <c r="G387" s="122"/>
      <c r="H387" s="27"/>
      <c r="I387" s="55">
        <f t="shared" si="20"/>
        <v>0</v>
      </c>
      <c r="J387" s="59"/>
      <c r="L387" s="4"/>
      <c r="M387" s="4"/>
      <c r="N387" s="4"/>
      <c r="O387" s="4"/>
      <c r="P387" s="4"/>
      <c r="Q387" s="4"/>
      <c r="AK387" s="44">
        <f t="shared" si="18"/>
        <v>0</v>
      </c>
    </row>
    <row r="388" spans="2:37" ht="12.75" customHeight="1">
      <c r="B388" s="26">
        <f t="shared" si="19"/>
        <v>380</v>
      </c>
      <c r="C388" s="97" t="s">
        <v>519</v>
      </c>
      <c r="D388" s="39"/>
      <c r="E388" s="39">
        <f>TRUNC(35.5/1.33+1.9)</f>
        <v>28</v>
      </c>
      <c r="F388" s="139">
        <v>4</v>
      </c>
      <c r="G388" s="122" t="s">
        <v>65</v>
      </c>
      <c r="H388" s="27">
        <f>1+(1.5-0.17)+(4)</f>
        <v>6.33</v>
      </c>
      <c r="I388" s="55">
        <f t="shared" si="20"/>
        <v>118.39632</v>
      </c>
      <c r="J388" s="59"/>
      <c r="K388" s="4"/>
      <c r="L388" s="4"/>
      <c r="M388" s="4"/>
      <c r="N388" s="4"/>
      <c r="O388" s="4"/>
      <c r="P388" s="4"/>
      <c r="Q388" s="4"/>
      <c r="AK388" s="44">
        <f t="shared" si="18"/>
        <v>0.66800000000000004</v>
      </c>
    </row>
    <row r="389" spans="2:37" ht="12.75" customHeight="1">
      <c r="B389" s="26">
        <f t="shared" si="19"/>
        <v>381</v>
      </c>
      <c r="C389" s="87" t="s">
        <v>522</v>
      </c>
      <c r="D389" s="39"/>
      <c r="E389" s="39"/>
      <c r="F389" s="139"/>
      <c r="G389" s="122"/>
      <c r="H389" s="27"/>
      <c r="I389" s="55">
        <f t="shared" si="20"/>
        <v>0</v>
      </c>
      <c r="J389" s="59"/>
      <c r="K389" s="4"/>
      <c r="L389" s="4"/>
      <c r="M389" s="4"/>
      <c r="N389" s="4"/>
      <c r="O389" s="4"/>
      <c r="P389" s="4"/>
      <c r="Q389" s="4"/>
      <c r="AK389" s="44">
        <f t="shared" si="18"/>
        <v>0</v>
      </c>
    </row>
    <row r="390" spans="2:37" ht="12.75" customHeight="1">
      <c r="B390" s="26">
        <f t="shared" si="19"/>
        <v>382</v>
      </c>
      <c r="C390" s="97" t="s">
        <v>523</v>
      </c>
      <c r="D390" s="39"/>
      <c r="E390" s="39">
        <f>TRUNC(473.83/1.33+1.9)</f>
        <v>358</v>
      </c>
      <c r="F390" s="139">
        <v>5</v>
      </c>
      <c r="G390" s="122" t="s">
        <v>65</v>
      </c>
      <c r="H390" s="27">
        <f>1+(1.083-0.17)+3</f>
        <v>4.9130000000000003</v>
      </c>
      <c r="I390" s="55">
        <f t="shared" si="20"/>
        <v>1834.4847220000001</v>
      </c>
      <c r="J390" s="59"/>
      <c r="L390" s="4"/>
      <c r="M390" s="4"/>
      <c r="N390" s="4"/>
      <c r="O390" s="4"/>
      <c r="P390" s="4"/>
      <c r="Q390" s="4"/>
      <c r="AK390" s="44">
        <f t="shared" si="18"/>
        <v>1.0429999999999999</v>
      </c>
    </row>
    <row r="391" spans="2:37" ht="12.75" customHeight="1">
      <c r="B391" s="26">
        <f t="shared" si="19"/>
        <v>383</v>
      </c>
      <c r="C391" s="87" t="s">
        <v>524</v>
      </c>
      <c r="D391" s="39"/>
      <c r="E391" s="39"/>
      <c r="F391" s="139"/>
      <c r="G391" s="122"/>
      <c r="H391" s="27"/>
      <c r="I391" s="55">
        <f t="shared" si="20"/>
        <v>0</v>
      </c>
      <c r="J391" s="59"/>
      <c r="K391" s="4"/>
      <c r="L391" s="4"/>
      <c r="M391" s="4"/>
      <c r="N391" s="4"/>
      <c r="O391" s="4"/>
      <c r="P391" s="4"/>
      <c r="Q391" s="4"/>
      <c r="AK391" s="44">
        <f t="shared" si="18"/>
        <v>0</v>
      </c>
    </row>
    <row r="392" spans="2:37" ht="12.75" customHeight="1">
      <c r="B392" s="26">
        <f t="shared" si="19"/>
        <v>384</v>
      </c>
      <c r="C392" s="87" t="s">
        <v>525</v>
      </c>
      <c r="D392" s="39"/>
      <c r="E392" s="39"/>
      <c r="F392" s="139"/>
      <c r="G392" s="122"/>
      <c r="H392" s="27"/>
      <c r="I392" s="55">
        <f t="shared" si="20"/>
        <v>0</v>
      </c>
      <c r="J392" s="59"/>
      <c r="K392" s="4"/>
      <c r="L392" s="4"/>
      <c r="M392" s="4"/>
      <c r="N392" s="4"/>
      <c r="O392" s="4"/>
      <c r="P392" s="4"/>
      <c r="Q392" s="4"/>
      <c r="AK392" s="44">
        <f t="shared" si="18"/>
        <v>0</v>
      </c>
    </row>
    <row r="393" spans="2:37" ht="12.75" customHeight="1">
      <c r="B393" s="26">
        <f t="shared" si="19"/>
        <v>385</v>
      </c>
      <c r="C393" s="97" t="s">
        <v>526</v>
      </c>
      <c r="D393" s="39">
        <v>18</v>
      </c>
      <c r="E393" s="39">
        <f>TRUNC((4-0.125*2)/1+1.9)*2</f>
        <v>10</v>
      </c>
      <c r="F393" s="139">
        <v>4</v>
      </c>
      <c r="G393" s="122" t="s">
        <v>57</v>
      </c>
      <c r="H393" s="27">
        <f>4-0.12*2</f>
        <v>3.76</v>
      </c>
      <c r="I393" s="55">
        <f t="shared" si="20"/>
        <v>452.10240000000005</v>
      </c>
      <c r="J393" s="59"/>
      <c r="K393" s="4"/>
      <c r="L393" s="4"/>
      <c r="M393" s="4"/>
      <c r="N393" s="4"/>
      <c r="O393" s="4"/>
      <c r="P393" s="4"/>
      <c r="Q393" s="4"/>
      <c r="AK393" s="44">
        <f t="shared" ref="AK393:AK409" si="21">IF(F393="",0,VLOOKUP(F393,$CI$16:$CJ$408,2,FALSE))</f>
        <v>0.66800000000000004</v>
      </c>
    </row>
    <row r="394" spans="2:37" ht="12.75" customHeight="1">
      <c r="B394" s="26">
        <f t="shared" ref="B394:B408" si="22">IF(B393="SL.NO",1,B393+1)</f>
        <v>386</v>
      </c>
      <c r="C394" s="97" t="s">
        <v>535</v>
      </c>
      <c r="D394" s="39"/>
      <c r="E394" s="39">
        <v>75</v>
      </c>
      <c r="F394" s="139">
        <v>4</v>
      </c>
      <c r="G394" s="122" t="s">
        <v>61</v>
      </c>
      <c r="H394" s="27">
        <v>40</v>
      </c>
      <c r="I394" s="55">
        <f t="shared" si="20"/>
        <v>2004.0000000000002</v>
      </c>
      <c r="J394" s="59"/>
      <c r="K394" s="4"/>
      <c r="L394" s="4"/>
      <c r="M394" s="4"/>
      <c r="N394" s="4"/>
      <c r="O394" s="4"/>
      <c r="P394" s="4"/>
      <c r="Q394" s="4"/>
      <c r="AK394" s="44">
        <f t="shared" si="21"/>
        <v>0.66800000000000004</v>
      </c>
    </row>
    <row r="395" spans="2:37" ht="12.75" customHeight="1">
      <c r="B395" s="26">
        <f t="shared" si="22"/>
        <v>387</v>
      </c>
      <c r="C395" s="87"/>
      <c r="D395" s="39"/>
      <c r="E395" s="39"/>
      <c r="F395" s="139"/>
      <c r="G395" s="40"/>
      <c r="H395" s="27"/>
      <c r="I395" s="55">
        <f t="shared" si="20"/>
        <v>0</v>
      </c>
      <c r="J395" s="59"/>
      <c r="K395" s="4"/>
      <c r="L395" s="4"/>
      <c r="M395" s="4"/>
      <c r="N395" s="4"/>
      <c r="O395" s="4"/>
      <c r="P395" s="4"/>
      <c r="Q395" s="4"/>
      <c r="AK395" s="44">
        <f t="shared" si="21"/>
        <v>0</v>
      </c>
    </row>
    <row r="396" spans="2:37" ht="12.75" customHeight="1">
      <c r="B396" s="26">
        <f t="shared" si="22"/>
        <v>388</v>
      </c>
      <c r="C396" s="97"/>
      <c r="D396" s="39"/>
      <c r="E396" s="39"/>
      <c r="F396" s="139"/>
      <c r="G396" s="40"/>
      <c r="H396" s="27"/>
      <c r="I396" s="55">
        <f t="shared" si="20"/>
        <v>0</v>
      </c>
      <c r="J396" s="59"/>
      <c r="K396" s="4"/>
      <c r="L396" s="4"/>
      <c r="M396" s="4"/>
      <c r="N396" s="4"/>
      <c r="O396" s="4"/>
      <c r="P396" s="4"/>
      <c r="Q396" s="4"/>
      <c r="AK396" s="44">
        <f t="shared" si="21"/>
        <v>0</v>
      </c>
    </row>
    <row r="397" spans="2:37" ht="12.75" customHeight="1">
      <c r="B397" s="26">
        <f t="shared" si="22"/>
        <v>389</v>
      </c>
      <c r="C397" s="97"/>
      <c r="D397" s="39"/>
      <c r="E397" s="39"/>
      <c r="F397" s="139"/>
      <c r="G397" s="40"/>
      <c r="H397" s="27"/>
      <c r="I397" s="55">
        <f t="shared" si="20"/>
        <v>0</v>
      </c>
      <c r="J397" s="59"/>
      <c r="K397" s="4"/>
      <c r="L397" s="4"/>
      <c r="M397" s="4"/>
      <c r="N397" s="4"/>
      <c r="O397" s="4"/>
      <c r="P397" s="4"/>
      <c r="Q397" s="4"/>
      <c r="AK397" s="44">
        <f t="shared" si="21"/>
        <v>0</v>
      </c>
    </row>
    <row r="398" spans="2:37" ht="12.75" customHeight="1">
      <c r="B398" s="26">
        <f t="shared" si="22"/>
        <v>390</v>
      </c>
      <c r="C398" s="97"/>
      <c r="D398" s="39"/>
      <c r="E398" s="39"/>
      <c r="F398" s="139"/>
      <c r="G398" s="40"/>
      <c r="H398" s="27"/>
      <c r="I398" s="55">
        <f t="shared" si="20"/>
        <v>0</v>
      </c>
      <c r="J398" s="59"/>
      <c r="K398" s="4"/>
      <c r="M398" s="4"/>
      <c r="N398" s="4"/>
      <c r="O398" s="4"/>
      <c r="P398" s="4"/>
      <c r="Q398" s="4"/>
      <c r="AK398" s="44">
        <f t="shared" si="21"/>
        <v>0</v>
      </c>
    </row>
    <row r="399" spans="2:37" ht="12.75" customHeight="1">
      <c r="B399" s="26">
        <f t="shared" si="22"/>
        <v>391</v>
      </c>
      <c r="C399" s="97"/>
      <c r="D399" s="39"/>
      <c r="E399" s="39"/>
      <c r="F399" s="139"/>
      <c r="G399" s="40"/>
      <c r="H399" s="27"/>
      <c r="I399" s="55">
        <f t="shared" si="20"/>
        <v>0</v>
      </c>
      <c r="J399" s="59"/>
      <c r="K399" s="4"/>
      <c r="L399" s="4"/>
      <c r="M399" s="4"/>
      <c r="N399" s="4"/>
      <c r="O399" s="4"/>
      <c r="P399" s="4"/>
      <c r="Q399" s="4"/>
      <c r="AK399" s="44">
        <f t="shared" si="21"/>
        <v>0</v>
      </c>
    </row>
    <row r="400" spans="2:37" ht="12.75" customHeight="1">
      <c r="B400" s="26">
        <f t="shared" si="22"/>
        <v>392</v>
      </c>
      <c r="C400" s="87"/>
      <c r="D400" s="39"/>
      <c r="E400" s="39"/>
      <c r="F400" s="139"/>
      <c r="G400" s="40"/>
      <c r="H400" s="27"/>
      <c r="I400" s="55">
        <f t="shared" ref="I400:I408" si="23">IF(D400="",AK400*H400*E400,AK400*H400*E400*D400)</f>
        <v>0</v>
      </c>
      <c r="J400" s="59"/>
      <c r="K400" s="4"/>
      <c r="L400" s="4"/>
      <c r="M400" s="4"/>
      <c r="N400" s="4"/>
      <c r="O400" s="4"/>
      <c r="P400" s="4"/>
      <c r="Q400" s="4"/>
      <c r="AK400" s="44">
        <f t="shared" si="21"/>
        <v>0</v>
      </c>
    </row>
    <row r="401" spans="2:37" ht="12.75" customHeight="1">
      <c r="B401" s="26">
        <f t="shared" si="22"/>
        <v>393</v>
      </c>
      <c r="C401" s="87"/>
      <c r="D401" s="39"/>
      <c r="E401" s="39"/>
      <c r="F401" s="139"/>
      <c r="G401" s="40"/>
      <c r="H401" s="27"/>
      <c r="I401" s="55">
        <f t="shared" si="23"/>
        <v>0</v>
      </c>
      <c r="J401" s="59"/>
      <c r="L401" s="4"/>
      <c r="M401" s="4"/>
      <c r="N401" s="4"/>
      <c r="O401" s="4"/>
      <c r="P401" s="4"/>
      <c r="Q401" s="4"/>
      <c r="AK401" s="44">
        <f t="shared" si="21"/>
        <v>0</v>
      </c>
    </row>
    <row r="402" spans="2:37" ht="12.75" customHeight="1">
      <c r="B402" s="26">
        <f t="shared" si="22"/>
        <v>394</v>
      </c>
      <c r="C402" s="97"/>
      <c r="D402" s="39"/>
      <c r="E402" s="39"/>
      <c r="F402" s="139"/>
      <c r="G402" s="40"/>
      <c r="H402" s="27"/>
      <c r="I402" s="55">
        <f t="shared" si="23"/>
        <v>0</v>
      </c>
      <c r="J402" s="59"/>
      <c r="K402" s="4"/>
      <c r="L402" s="4"/>
      <c r="M402" s="4"/>
      <c r="N402" s="4"/>
      <c r="O402" s="4"/>
      <c r="P402" s="4"/>
      <c r="Q402" s="4"/>
      <c r="AK402" s="44">
        <f t="shared" si="21"/>
        <v>0</v>
      </c>
    </row>
    <row r="403" spans="2:37" ht="12.75" customHeight="1">
      <c r="B403" s="26">
        <f t="shared" si="22"/>
        <v>395</v>
      </c>
      <c r="C403" s="97"/>
      <c r="D403" s="39"/>
      <c r="E403" s="39"/>
      <c r="F403" s="139"/>
      <c r="G403" s="40"/>
      <c r="H403" s="27"/>
      <c r="I403" s="55">
        <f t="shared" si="23"/>
        <v>0</v>
      </c>
      <c r="J403" s="59"/>
      <c r="K403" s="4"/>
      <c r="L403" s="4"/>
      <c r="M403" s="4"/>
      <c r="N403" s="4"/>
      <c r="O403" s="4"/>
      <c r="P403" s="4"/>
      <c r="Q403" s="4"/>
      <c r="AK403" s="44">
        <f t="shared" si="21"/>
        <v>0</v>
      </c>
    </row>
    <row r="404" spans="2:37" ht="12.75" customHeight="1">
      <c r="B404" s="26">
        <f t="shared" si="22"/>
        <v>396</v>
      </c>
      <c r="C404" s="97"/>
      <c r="D404" s="39"/>
      <c r="E404" s="39"/>
      <c r="F404" s="139"/>
      <c r="G404" s="40"/>
      <c r="H404" s="27"/>
      <c r="I404" s="55">
        <f t="shared" si="23"/>
        <v>0</v>
      </c>
      <c r="J404" s="59"/>
      <c r="K404" s="4"/>
      <c r="L404" s="4"/>
      <c r="M404" s="4"/>
      <c r="N404" s="4"/>
      <c r="O404" s="4"/>
      <c r="P404" s="4"/>
      <c r="Q404" s="4"/>
      <c r="AK404" s="44">
        <f t="shared" si="21"/>
        <v>0</v>
      </c>
    </row>
    <row r="405" spans="2:37" ht="12.75" customHeight="1">
      <c r="B405" s="26">
        <f t="shared" si="22"/>
        <v>397</v>
      </c>
      <c r="C405" s="97"/>
      <c r="D405" s="39"/>
      <c r="E405" s="39"/>
      <c r="F405" s="139"/>
      <c r="G405" s="40"/>
      <c r="H405" s="27"/>
      <c r="I405" s="55">
        <f t="shared" si="23"/>
        <v>0</v>
      </c>
      <c r="J405" s="59"/>
      <c r="K405" s="4"/>
      <c r="L405" s="4"/>
      <c r="M405" s="4"/>
      <c r="N405" s="4"/>
      <c r="O405" s="4"/>
      <c r="P405" s="4"/>
      <c r="Q405" s="4"/>
      <c r="AK405" s="44">
        <f t="shared" si="21"/>
        <v>0</v>
      </c>
    </row>
    <row r="406" spans="2:37" ht="12.75" customHeight="1">
      <c r="B406" s="26">
        <f t="shared" si="22"/>
        <v>398</v>
      </c>
      <c r="C406" s="97"/>
      <c r="D406" s="39"/>
      <c r="E406" s="39"/>
      <c r="F406" s="139"/>
      <c r="G406" s="40"/>
      <c r="H406" s="27"/>
      <c r="I406" s="55">
        <f t="shared" si="23"/>
        <v>0</v>
      </c>
      <c r="J406" s="59"/>
      <c r="K406" s="4"/>
      <c r="M406" s="4"/>
      <c r="N406" s="4"/>
      <c r="O406" s="4"/>
      <c r="P406" s="4"/>
      <c r="Q406" s="4"/>
      <c r="AK406" s="44">
        <f t="shared" si="21"/>
        <v>0</v>
      </c>
    </row>
    <row r="407" spans="2:37" ht="12.75" customHeight="1">
      <c r="B407" s="26">
        <f t="shared" si="22"/>
        <v>399</v>
      </c>
      <c r="C407" s="97"/>
      <c r="D407" s="39"/>
      <c r="E407" s="39"/>
      <c r="F407" s="139"/>
      <c r="G407" s="40"/>
      <c r="H407" s="27"/>
      <c r="I407" s="55">
        <f t="shared" si="23"/>
        <v>0</v>
      </c>
      <c r="J407" s="59"/>
      <c r="K407" s="4"/>
      <c r="L407" s="4"/>
      <c r="M407" s="4"/>
      <c r="N407" s="4"/>
      <c r="O407" s="4"/>
      <c r="P407" s="4"/>
      <c r="Q407" s="4"/>
      <c r="AK407" s="44">
        <f t="shared" si="21"/>
        <v>0</v>
      </c>
    </row>
    <row r="408" spans="2:37" ht="12.75" customHeight="1">
      <c r="B408" s="26">
        <f t="shared" si="22"/>
        <v>400</v>
      </c>
      <c r="C408" s="97"/>
      <c r="D408" s="39"/>
      <c r="E408" s="39"/>
      <c r="F408" s="139"/>
      <c r="G408" s="40"/>
      <c r="H408" s="27"/>
      <c r="I408" s="55">
        <f t="shared" si="23"/>
        <v>0</v>
      </c>
      <c r="J408" s="59"/>
      <c r="K408" s="4"/>
      <c r="L408" s="4"/>
      <c r="M408" s="4"/>
      <c r="N408" s="4"/>
      <c r="O408" s="4"/>
      <c r="P408" s="4"/>
      <c r="Q408" s="4"/>
      <c r="AK408" s="44">
        <f t="shared" si="21"/>
        <v>0</v>
      </c>
    </row>
    <row r="409" spans="2:37" ht="13.5" thickBot="1">
      <c r="G409" s="46"/>
      <c r="H409" s="88" t="s">
        <v>90</v>
      </c>
      <c r="I409" s="89">
        <f>SUM(I9:I408)</f>
        <v>117858.21235930009</v>
      </c>
      <c r="AK409" s="44">
        <f t="shared" si="21"/>
        <v>0</v>
      </c>
    </row>
    <row r="410" spans="2:37">
      <c r="I410" s="90"/>
    </row>
    <row r="413" spans="2:37">
      <c r="I413" s="90">
        <f>I409/2000</f>
        <v>58.929106179650041</v>
      </c>
    </row>
  </sheetData>
  <mergeCells count="4">
    <mergeCell ref="C1:H2"/>
    <mergeCell ref="D4:I4"/>
    <mergeCell ref="D5:I5"/>
    <mergeCell ref="D6:I6"/>
  </mergeCells>
  <dataValidations count="5">
    <dataValidation type="list" allowBlank="1" showInputMessage="1" showErrorMessage="1" sqref="G205:G206">
      <formula1>$CL$12:$CL$22</formula1>
    </dataValidation>
    <dataValidation type="list" allowBlank="1" showInputMessage="1" showErrorMessage="1" sqref="F205:F206">
      <formula1>$CI$10:$CI$58</formula1>
    </dataValidation>
    <dataValidation type="list" allowBlank="1" showInputMessage="1" showErrorMessage="1" sqref="F9:F204 F207:F408">
      <formula1>$CI$16:$CI$38</formula1>
    </dataValidation>
    <dataValidation type="list" allowBlank="1" showInputMessage="1" showErrorMessage="1" sqref="G9:G204 G207:G408">
      <formula1>$CL$15:$CL$24</formula1>
    </dataValidation>
    <dataValidation type="list" allowBlank="1" showInputMessage="1" showErrorMessage="1" sqref="J9:J408">
      <formula1>"A-615 GR-60,A-615 GR-40,A706 GR-60"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  <rowBreaks count="7" manualBreakCount="7">
    <brk id="58" min="1" max="8" man="1"/>
    <brk id="108" min="1" max="8" man="1"/>
    <brk id="158" min="1" max="8" man="1"/>
    <brk id="208" min="1" max="8" man="1"/>
    <brk id="258" min="1" max="8" man="1"/>
    <brk id="308" min="1" max="8" man="1"/>
    <brk id="358" min="1" max="8" man="1"/>
  </rowBreaks>
  <ignoredErrors>
    <ignoredError sqref="E371:H37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B1:CL64"/>
  <sheetViews>
    <sheetView view="pageBreakPreview" zoomScaleSheetLayoutView="100" workbookViewId="0">
      <pane ySplit="8" topLeftCell="A42" activePane="bottomLeft" state="frozen"/>
      <selection activeCell="C26" sqref="C26"/>
      <selection pane="bottomLeft" activeCell="L69" sqref="L69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371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I59/2000</f>
        <v>8.4384053725000001</v>
      </c>
      <c r="AK8" s="51" t="s">
        <v>52</v>
      </c>
    </row>
    <row r="9" spans="2:90" ht="12.75" customHeight="1">
      <c r="B9" s="26">
        <f>IF(B8="SL.NO",1,B8+1)</f>
        <v>1</v>
      </c>
      <c r="C9" s="135" t="s">
        <v>372</v>
      </c>
      <c r="D9" s="136"/>
      <c r="E9" s="136"/>
      <c r="F9" s="137"/>
      <c r="G9" s="40"/>
      <c r="H9" s="138"/>
      <c r="I9" s="55">
        <f t="shared" ref="I9:I58" si="0">IF(D9="",AK9*H9*E9,AK9*H9*E9*D9)</f>
        <v>0</v>
      </c>
      <c r="J9" s="56"/>
      <c r="AK9" s="44">
        <f t="shared" ref="AK9:AK59" si="1">IF(F9="",0,VLOOKUP(F9,$CI$16:$CJ$58,2,FALSE))</f>
        <v>0</v>
      </c>
    </row>
    <row r="10" spans="2:90" ht="12.75" customHeight="1">
      <c r="B10" s="26">
        <f t="shared" ref="B10:B58" si="2">IF(B9="SL.NO",1,B9+1)</f>
        <v>2</v>
      </c>
      <c r="C10" s="101" t="s">
        <v>373</v>
      </c>
      <c r="D10" s="22"/>
      <c r="E10" s="22"/>
      <c r="F10" s="22"/>
      <c r="G10" s="40"/>
      <c r="H10" s="27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140" t="s">
        <v>374</v>
      </c>
      <c r="D11" s="22"/>
      <c r="E11" s="22"/>
      <c r="F11" s="22"/>
      <c r="G11" s="142"/>
      <c r="H11" s="143"/>
      <c r="I11" s="55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140" t="s">
        <v>375</v>
      </c>
      <c r="D12" s="22"/>
      <c r="E12" s="22"/>
      <c r="F12" s="141"/>
      <c r="G12" s="142"/>
      <c r="H12" s="143"/>
      <c r="I12" s="55">
        <f t="shared" si="0"/>
        <v>0</v>
      </c>
      <c r="J12" s="59"/>
      <c r="K12" s="4"/>
      <c r="M12" s="4"/>
      <c r="N12" s="4"/>
      <c r="O12" s="4"/>
      <c r="P12" s="4"/>
      <c r="Q12" s="4"/>
      <c r="AK12" s="44">
        <f t="shared" si="1"/>
        <v>0</v>
      </c>
    </row>
    <row r="13" spans="2:90" ht="12.75" customHeight="1">
      <c r="B13" s="26">
        <f t="shared" si="2"/>
        <v>5</v>
      </c>
      <c r="C13" s="41" t="s">
        <v>313</v>
      </c>
      <c r="D13" s="35"/>
      <c r="E13" s="35">
        <v>4</v>
      </c>
      <c r="F13" s="36">
        <v>8</v>
      </c>
      <c r="G13" s="144" t="s">
        <v>57</v>
      </c>
      <c r="H13" s="37">
        <f>28+5.16-0.125</f>
        <v>33.034999999999997</v>
      </c>
      <c r="I13" s="55">
        <f t="shared" si="0"/>
        <v>352.81379999999996</v>
      </c>
      <c r="J13" s="59"/>
      <c r="K13" s="4"/>
      <c r="M13" s="4"/>
      <c r="N13" s="4"/>
      <c r="O13" s="5"/>
      <c r="P13" s="4"/>
      <c r="Q13" s="4"/>
      <c r="AK13" s="44">
        <f t="shared" si="1"/>
        <v>2.67</v>
      </c>
    </row>
    <row r="14" spans="2:90" ht="12.75" customHeight="1" thickBot="1">
      <c r="B14" s="26">
        <f t="shared" si="2"/>
        <v>6</v>
      </c>
      <c r="C14" s="41" t="s">
        <v>370</v>
      </c>
      <c r="D14" s="35"/>
      <c r="E14" s="35">
        <v>2</v>
      </c>
      <c r="F14" s="36">
        <v>7</v>
      </c>
      <c r="G14" s="144" t="s">
        <v>65</v>
      </c>
      <c r="H14" s="37">
        <f>28+5.83-0.125+1.75</f>
        <v>35.454999999999998</v>
      </c>
      <c r="I14" s="55">
        <f t="shared" si="0"/>
        <v>144.94003999999998</v>
      </c>
      <c r="J14" s="59"/>
      <c r="K14" s="4"/>
      <c r="M14" s="4"/>
      <c r="N14" s="4"/>
      <c r="O14" s="4"/>
      <c r="P14" s="4"/>
      <c r="Q14" s="4"/>
      <c r="AK14" s="44">
        <f t="shared" si="1"/>
        <v>2.044</v>
      </c>
    </row>
    <row r="15" spans="2:90" ht="12.75" customHeight="1">
      <c r="B15" s="26">
        <f t="shared" si="2"/>
        <v>7</v>
      </c>
      <c r="C15" s="41" t="s">
        <v>347</v>
      </c>
      <c r="D15" s="35"/>
      <c r="E15" s="35">
        <f>TRUNC(22/0.67+1.9)</f>
        <v>34</v>
      </c>
      <c r="F15" s="36">
        <v>3</v>
      </c>
      <c r="G15" s="144" t="s">
        <v>65</v>
      </c>
      <c r="H15" s="37">
        <f>(0.83-0.125*2)*2+(2-0.125*2)*2+0.33*2</f>
        <v>5.32</v>
      </c>
      <c r="I15" s="55">
        <f t="shared" si="0"/>
        <v>68.010880000000014</v>
      </c>
      <c r="J15" s="59"/>
      <c r="K15" s="4"/>
      <c r="M15" s="4"/>
      <c r="N15" s="4"/>
      <c r="O15" s="4"/>
      <c r="P15" s="4"/>
      <c r="Q15" s="4"/>
      <c r="AK15" s="44">
        <f t="shared" si="1"/>
        <v>0.376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140" t="s">
        <v>376</v>
      </c>
      <c r="D16" s="22"/>
      <c r="E16" s="22"/>
      <c r="F16" s="141"/>
      <c r="G16" s="142"/>
      <c r="H16" s="143"/>
      <c r="I16" s="55">
        <f t="shared" si="0"/>
        <v>0</v>
      </c>
      <c r="J16" s="59"/>
      <c r="K16" s="4"/>
      <c r="M16" s="4"/>
      <c r="N16" s="4"/>
      <c r="O16" s="62"/>
      <c r="P16" s="4"/>
      <c r="Q16" s="4"/>
      <c r="AK16" s="44">
        <f t="shared" si="1"/>
        <v>0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41" t="s">
        <v>345</v>
      </c>
      <c r="D17" s="35"/>
      <c r="E17" s="35">
        <v>4</v>
      </c>
      <c r="F17" s="36">
        <v>9</v>
      </c>
      <c r="G17" s="144" t="s">
        <v>57</v>
      </c>
      <c r="H17" s="37">
        <f>23-0.125*2</f>
        <v>22.75</v>
      </c>
      <c r="I17" s="55">
        <f t="shared" si="0"/>
        <v>309.39999999999998</v>
      </c>
      <c r="J17" s="59"/>
      <c r="K17" s="4"/>
      <c r="M17" s="4"/>
      <c r="N17" s="4"/>
      <c r="O17" s="62"/>
      <c r="P17" s="4"/>
      <c r="Q17" s="4"/>
      <c r="AK17" s="44">
        <f t="shared" si="1"/>
        <v>3.4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41" t="s">
        <v>377</v>
      </c>
      <c r="D18" s="35"/>
      <c r="E18" s="35">
        <v>4</v>
      </c>
      <c r="F18" s="36">
        <v>9</v>
      </c>
      <c r="G18" s="144" t="s">
        <v>65</v>
      </c>
      <c r="H18" s="37">
        <f>23-0.125*26+1.75*2</f>
        <v>23.25</v>
      </c>
      <c r="I18" s="55">
        <f t="shared" si="0"/>
        <v>316.2</v>
      </c>
      <c r="J18" s="59"/>
      <c r="K18" s="4"/>
      <c r="M18" s="4"/>
      <c r="N18" s="4"/>
      <c r="O18" s="62"/>
      <c r="P18" s="65"/>
      <c r="Q18" s="4"/>
      <c r="AK18" s="44">
        <f t="shared" si="1"/>
        <v>3.4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41" t="s">
        <v>368</v>
      </c>
      <c r="D19" s="35"/>
      <c r="E19" s="35">
        <f>TRUNC(20/0.5+1.9)</f>
        <v>41</v>
      </c>
      <c r="F19" s="36">
        <v>3</v>
      </c>
      <c r="G19" s="144" t="s">
        <v>65</v>
      </c>
      <c r="H19" s="37">
        <f>(0.83-0.125*2)*2+(2-0.125*2)*2+0.33*2</f>
        <v>5.32</v>
      </c>
      <c r="I19" s="55">
        <f t="shared" si="0"/>
        <v>82.013120000000015</v>
      </c>
      <c r="J19" s="59"/>
      <c r="K19" s="4"/>
      <c r="M19" s="4"/>
      <c r="N19" s="4"/>
      <c r="O19" s="62"/>
      <c r="P19" s="65"/>
      <c r="Q19" s="4"/>
      <c r="AK19" s="44">
        <f t="shared" si="1"/>
        <v>0.376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40" t="s">
        <v>378</v>
      </c>
      <c r="D20" s="22"/>
      <c r="E20" s="22"/>
      <c r="F20" s="141"/>
      <c r="G20" s="142"/>
      <c r="H20" s="143"/>
      <c r="I20" s="55">
        <f t="shared" si="0"/>
        <v>0</v>
      </c>
      <c r="J20" s="59"/>
      <c r="K20" s="4"/>
      <c r="M20" s="4"/>
      <c r="N20" s="4"/>
      <c r="O20" s="62"/>
      <c r="P20" s="65"/>
      <c r="Q20" s="4"/>
      <c r="AK20" s="44">
        <f t="shared" si="1"/>
        <v>0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41" t="s">
        <v>349</v>
      </c>
      <c r="D21" s="35">
        <v>4</v>
      </c>
      <c r="E21" s="35">
        <v>5</v>
      </c>
      <c r="F21" s="36">
        <v>10</v>
      </c>
      <c r="G21" s="144" t="s">
        <v>61</v>
      </c>
      <c r="H21" s="37">
        <v>40</v>
      </c>
      <c r="I21" s="55">
        <f>IF(D21="",AK21*H21*E21,AK21*H21*E21*D21)</f>
        <v>3442.4</v>
      </c>
      <c r="J21" s="59"/>
      <c r="K21" s="4"/>
      <c r="M21" s="4"/>
      <c r="N21" s="4"/>
      <c r="O21" s="62"/>
      <c r="P21" s="4"/>
      <c r="Q21" s="4"/>
      <c r="AK21" s="44">
        <f t="shared" si="1"/>
        <v>4.3029999999999999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41" t="s">
        <v>91</v>
      </c>
      <c r="D22" s="35"/>
      <c r="E22" s="35">
        <v>5</v>
      </c>
      <c r="F22" s="36">
        <v>10</v>
      </c>
      <c r="G22" s="144" t="s">
        <v>57</v>
      </c>
      <c r="H22" s="37">
        <f>161-40*4+6.75*4</f>
        <v>28</v>
      </c>
      <c r="I22" s="55">
        <f t="shared" si="0"/>
        <v>602.41999999999996</v>
      </c>
      <c r="J22" s="59"/>
      <c r="K22" s="4"/>
      <c r="M22" s="4"/>
      <c r="N22" s="4"/>
      <c r="O22" s="69"/>
      <c r="P22" s="4"/>
      <c r="Q22" s="4"/>
      <c r="AK22" s="44">
        <f t="shared" si="1"/>
        <v>4.3029999999999999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41" t="s">
        <v>379</v>
      </c>
      <c r="D23" s="35">
        <v>4</v>
      </c>
      <c r="E23" s="35">
        <v>5</v>
      </c>
      <c r="F23" s="36">
        <v>10</v>
      </c>
      <c r="G23" s="144" t="s">
        <v>61</v>
      </c>
      <c r="H23" s="37">
        <v>40</v>
      </c>
      <c r="I23" s="55">
        <f t="shared" si="0"/>
        <v>3442.4</v>
      </c>
      <c r="J23" s="59"/>
      <c r="K23" s="4"/>
      <c r="M23" s="4"/>
      <c r="N23" s="4"/>
      <c r="O23" s="62"/>
      <c r="P23" s="4"/>
      <c r="Q23" s="4"/>
      <c r="AK23" s="44">
        <f t="shared" si="1"/>
        <v>4.3029999999999999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41" t="s">
        <v>91</v>
      </c>
      <c r="D24" s="35"/>
      <c r="E24" s="35">
        <v>5</v>
      </c>
      <c r="F24" s="36">
        <v>10</v>
      </c>
      <c r="G24" s="144" t="s">
        <v>65</v>
      </c>
      <c r="H24" s="37">
        <f>161-40*4+8.5*4+2.16*2</f>
        <v>39.32</v>
      </c>
      <c r="I24" s="55">
        <f t="shared" si="0"/>
        <v>845.96980000000008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4.3029999999999999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41" t="s">
        <v>380</v>
      </c>
      <c r="D25" s="35"/>
      <c r="E25" s="35">
        <f>TRUNC(160/0.416+1.9)</f>
        <v>386</v>
      </c>
      <c r="F25" s="36">
        <v>3</v>
      </c>
      <c r="G25" s="144" t="s">
        <v>65</v>
      </c>
      <c r="H25" s="37">
        <f>(0.83-0.125*2)*2+(2.5-0.125*2)*2+0.33*2</f>
        <v>6.32</v>
      </c>
      <c r="I25" s="55">
        <f t="shared" si="0"/>
        <v>917.25952000000007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0.376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140" t="s">
        <v>381</v>
      </c>
      <c r="D26" s="35"/>
      <c r="E26" s="35"/>
      <c r="F26" s="36"/>
      <c r="G26" s="144"/>
      <c r="H26" s="37"/>
      <c r="I26" s="55">
        <f t="shared" si="0"/>
        <v>0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0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41" t="s">
        <v>382</v>
      </c>
      <c r="D27" s="35"/>
      <c r="E27" s="35">
        <v>6</v>
      </c>
      <c r="F27" s="36">
        <v>11</v>
      </c>
      <c r="G27" s="144" t="s">
        <v>57</v>
      </c>
      <c r="H27" s="37">
        <f>28.25-0.125*2</f>
        <v>28</v>
      </c>
      <c r="I27" s="55">
        <f t="shared" si="0"/>
        <v>892.58399999999983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5.3129999999999997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41" t="s">
        <v>383</v>
      </c>
      <c r="D28" s="35"/>
      <c r="E28" s="35">
        <v>6</v>
      </c>
      <c r="F28" s="36">
        <v>11</v>
      </c>
      <c r="G28" s="144" t="s">
        <v>65</v>
      </c>
      <c r="H28" s="37">
        <f>28.25-0.125*2+2.16*2</f>
        <v>32.32</v>
      </c>
      <c r="I28" s="55">
        <f t="shared" si="0"/>
        <v>1030.2969600000001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5.3129999999999997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41" t="s">
        <v>384</v>
      </c>
      <c r="D29" s="35"/>
      <c r="E29" s="35">
        <f>TRUNC(27/0.5+1.9)</f>
        <v>55</v>
      </c>
      <c r="F29" s="36">
        <v>4</v>
      </c>
      <c r="G29" s="144" t="s">
        <v>65</v>
      </c>
      <c r="H29" s="37">
        <f>(1.5-0.125*2)*2+(2.5-0.125*2)*2+0.375*2</f>
        <v>7.75</v>
      </c>
      <c r="I29" s="55">
        <f t="shared" si="0"/>
        <v>284.73500000000001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0.66800000000000004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140" t="s">
        <v>385</v>
      </c>
      <c r="D30" s="35"/>
      <c r="E30" s="35"/>
      <c r="F30" s="36"/>
      <c r="G30" s="144"/>
      <c r="H30" s="37"/>
      <c r="I30" s="55">
        <f t="shared" si="0"/>
        <v>0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0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41" t="s">
        <v>386</v>
      </c>
      <c r="D31" s="35"/>
      <c r="E31" s="35">
        <v>10</v>
      </c>
      <c r="F31" s="36">
        <v>11</v>
      </c>
      <c r="G31" s="144" t="s">
        <v>57</v>
      </c>
      <c r="H31" s="37">
        <f>31.25-0.125*2</f>
        <v>31</v>
      </c>
      <c r="I31" s="55">
        <f t="shared" si="0"/>
        <v>1647.03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5.3129999999999997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41" t="s">
        <v>379</v>
      </c>
      <c r="D32" s="35"/>
      <c r="E32" s="35">
        <v>5</v>
      </c>
      <c r="F32" s="36">
        <v>10</v>
      </c>
      <c r="G32" s="144" t="s">
        <v>65</v>
      </c>
      <c r="H32" s="37">
        <f>31.25-0.125+4+2.25</f>
        <v>37.375</v>
      </c>
      <c r="I32" s="55">
        <f t="shared" si="0"/>
        <v>804.12312499999996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4.3029999999999999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41" t="s">
        <v>384</v>
      </c>
      <c r="D33" s="35"/>
      <c r="E33" s="35">
        <f>TRUNC(30.5/0.5+1.9)</f>
        <v>62</v>
      </c>
      <c r="F33" s="36">
        <v>4</v>
      </c>
      <c r="G33" s="144" t="s">
        <v>65</v>
      </c>
      <c r="H33" s="37">
        <f>(3-0.125*2)*2+(2.5-0.125*2)*2+0.375*2</f>
        <v>10.75</v>
      </c>
      <c r="I33" s="55">
        <f t="shared" si="0"/>
        <v>445.22199999999998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0.66800000000000004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87" t="s">
        <v>387</v>
      </c>
      <c r="D34" s="39"/>
      <c r="E34" s="35"/>
      <c r="F34" s="36"/>
      <c r="G34" s="144"/>
      <c r="H34" s="37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41" t="s">
        <v>363</v>
      </c>
      <c r="D35" s="35"/>
      <c r="E35" s="35">
        <v>25</v>
      </c>
      <c r="F35" s="36">
        <v>5</v>
      </c>
      <c r="G35" s="144" t="s">
        <v>57</v>
      </c>
      <c r="H35" s="37">
        <v>4.5</v>
      </c>
      <c r="I35" s="55">
        <f t="shared" si="0"/>
        <v>117.33749999999998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1.0429999999999999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38" t="s">
        <v>388</v>
      </c>
      <c r="D36" s="35"/>
      <c r="E36" s="35"/>
      <c r="F36" s="36"/>
      <c r="G36" s="144"/>
      <c r="H36" s="37"/>
      <c r="I36" s="55">
        <f t="shared" si="0"/>
        <v>0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0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41" t="s">
        <v>363</v>
      </c>
      <c r="D37" s="35"/>
      <c r="E37" s="35">
        <v>155</v>
      </c>
      <c r="F37" s="36">
        <v>5</v>
      </c>
      <c r="G37" s="144" t="s">
        <v>57</v>
      </c>
      <c r="H37" s="37">
        <f>3+2+2</f>
        <v>7</v>
      </c>
      <c r="I37" s="55">
        <f t="shared" si="0"/>
        <v>1131.655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1.0429999999999999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41"/>
      <c r="D38" s="35"/>
      <c r="E38" s="35"/>
      <c r="F38" s="36"/>
      <c r="G38" s="144"/>
      <c r="H38" s="37"/>
      <c r="I38" s="55">
        <f t="shared" si="0"/>
        <v>0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38"/>
      <c r="D39" s="35"/>
      <c r="E39" s="35"/>
      <c r="F39" s="36"/>
      <c r="G39" s="144"/>
      <c r="H39" s="37"/>
      <c r="I39" s="55">
        <f t="shared" si="0"/>
        <v>0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0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41"/>
      <c r="D40" s="35"/>
      <c r="E40" s="35"/>
      <c r="F40" s="36"/>
      <c r="G40" s="144"/>
      <c r="H40" s="37"/>
      <c r="I40" s="55">
        <f t="shared" si="0"/>
        <v>0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41"/>
      <c r="D41" s="35"/>
      <c r="E41" s="35"/>
      <c r="F41" s="36"/>
      <c r="G41" s="144"/>
      <c r="H41" s="37"/>
      <c r="I41" s="55">
        <f t="shared" si="0"/>
        <v>0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0</v>
      </c>
    </row>
    <row r="42" spans="2:88" ht="12.75" customHeight="1">
      <c r="B42" s="26">
        <f t="shared" si="2"/>
        <v>34</v>
      </c>
      <c r="C42" s="140"/>
      <c r="D42" s="22"/>
      <c r="E42" s="22"/>
      <c r="F42" s="141"/>
      <c r="G42" s="142"/>
      <c r="H42" s="143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</v>
      </c>
    </row>
    <row r="43" spans="2:88" ht="12.75" customHeight="1">
      <c r="B43" s="26">
        <f t="shared" si="2"/>
        <v>35</v>
      </c>
      <c r="C43" s="140"/>
      <c r="D43" s="22"/>
      <c r="E43" s="22"/>
      <c r="F43" s="141"/>
      <c r="G43" s="142"/>
      <c r="H43" s="143"/>
      <c r="I43" s="55">
        <f t="shared" si="0"/>
        <v>0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0</v>
      </c>
    </row>
    <row r="44" spans="2:88" ht="12.75" customHeight="1">
      <c r="B44" s="26">
        <f t="shared" si="2"/>
        <v>36</v>
      </c>
      <c r="C44" s="41"/>
      <c r="D44" s="35"/>
      <c r="E44" s="35"/>
      <c r="F44" s="36"/>
      <c r="G44" s="144"/>
      <c r="H44" s="37"/>
      <c r="I44" s="55">
        <f t="shared" si="0"/>
        <v>0</v>
      </c>
      <c r="J44" s="59"/>
      <c r="K44" s="4"/>
      <c r="L44" s="3"/>
      <c r="M44" s="34"/>
      <c r="N44" s="34"/>
      <c r="O44" s="4"/>
      <c r="P44" s="4"/>
      <c r="Q44" s="4"/>
      <c r="AK44" s="44">
        <f t="shared" si="1"/>
        <v>0</v>
      </c>
    </row>
    <row r="45" spans="2:88" ht="12.75" customHeight="1">
      <c r="B45" s="26">
        <f t="shared" si="2"/>
        <v>37</v>
      </c>
      <c r="C45" s="41"/>
      <c r="D45" s="35"/>
      <c r="E45" s="35"/>
      <c r="F45" s="36"/>
      <c r="G45" s="144"/>
      <c r="H45" s="37"/>
      <c r="I45" s="55">
        <f t="shared" si="0"/>
        <v>0</v>
      </c>
      <c r="J45" s="59"/>
      <c r="K45" s="4"/>
      <c r="L45" s="3"/>
      <c r="M45" s="34"/>
      <c r="N45" s="3"/>
      <c r="O45" s="4"/>
      <c r="P45" s="4"/>
      <c r="Q45" s="4"/>
      <c r="AK45" s="44">
        <f t="shared" si="1"/>
        <v>0</v>
      </c>
    </row>
    <row r="46" spans="2:88" ht="12.75" customHeight="1">
      <c r="B46" s="26">
        <f t="shared" si="2"/>
        <v>38</v>
      </c>
      <c r="C46" s="41"/>
      <c r="D46" s="35"/>
      <c r="E46" s="35"/>
      <c r="F46" s="36"/>
      <c r="G46" s="144"/>
      <c r="H46" s="37"/>
      <c r="I46" s="55">
        <f t="shared" si="0"/>
        <v>0</v>
      </c>
      <c r="J46" s="59"/>
      <c r="K46" s="4"/>
      <c r="L46" s="3"/>
      <c r="M46" s="34"/>
      <c r="N46" s="34"/>
      <c r="O46" s="4"/>
      <c r="P46" s="4"/>
      <c r="Q46" s="4"/>
      <c r="AK46" s="44">
        <f t="shared" si="1"/>
        <v>0</v>
      </c>
    </row>
    <row r="47" spans="2:88" ht="12.75" customHeight="1">
      <c r="B47" s="26">
        <f t="shared" si="2"/>
        <v>39</v>
      </c>
      <c r="C47" s="140"/>
      <c r="D47" s="22"/>
      <c r="E47" s="22"/>
      <c r="F47" s="141"/>
      <c r="G47" s="142"/>
      <c r="H47" s="143"/>
      <c r="I47" s="55">
        <f t="shared" si="0"/>
        <v>0</v>
      </c>
      <c r="J47" s="59"/>
      <c r="K47" s="4"/>
      <c r="L47" s="3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41"/>
      <c r="D48" s="35"/>
      <c r="E48" s="35"/>
      <c r="F48" s="36"/>
      <c r="G48" s="144"/>
      <c r="H48" s="37"/>
      <c r="I48" s="55">
        <f t="shared" si="0"/>
        <v>0</v>
      </c>
      <c r="J48" s="59"/>
      <c r="K48" s="4"/>
      <c r="M48" s="4"/>
      <c r="N48" s="4"/>
      <c r="O48" s="4"/>
      <c r="P48" s="4"/>
      <c r="Q48" s="4"/>
      <c r="AK48" s="44">
        <f t="shared" si="1"/>
        <v>0</v>
      </c>
    </row>
    <row r="49" spans="2:37" ht="12.75" customHeight="1">
      <c r="B49" s="26">
        <f t="shared" si="2"/>
        <v>41</v>
      </c>
      <c r="C49" s="41"/>
      <c r="D49" s="35"/>
      <c r="E49" s="35"/>
      <c r="F49" s="36"/>
      <c r="G49" s="144"/>
      <c r="H49" s="37"/>
      <c r="I49" s="55">
        <f t="shared" si="0"/>
        <v>0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0</v>
      </c>
    </row>
    <row r="50" spans="2:37" ht="12.75" customHeight="1">
      <c r="B50" s="26">
        <f t="shared" si="2"/>
        <v>42</v>
      </c>
      <c r="C50" s="41"/>
      <c r="D50" s="35"/>
      <c r="E50" s="35"/>
      <c r="F50" s="36"/>
      <c r="G50" s="144"/>
      <c r="H50" s="37"/>
      <c r="I50" s="55">
        <f t="shared" si="0"/>
        <v>0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</v>
      </c>
    </row>
    <row r="51" spans="2:37" ht="12.75" customHeight="1">
      <c r="B51" s="26">
        <f t="shared" si="2"/>
        <v>43</v>
      </c>
      <c r="C51" s="145"/>
      <c r="D51" s="144"/>
      <c r="E51" s="144"/>
      <c r="F51" s="146"/>
      <c r="G51" s="144"/>
      <c r="H51" s="151"/>
      <c r="I51" s="55">
        <f t="shared" si="0"/>
        <v>0</v>
      </c>
      <c r="J51" s="59"/>
      <c r="L51" s="4"/>
      <c r="M51" s="148"/>
      <c r="N51" s="149"/>
      <c r="O51" s="4"/>
      <c r="P51" s="4"/>
      <c r="Q51" s="4"/>
      <c r="AK51" s="44">
        <f t="shared" si="1"/>
        <v>0</v>
      </c>
    </row>
    <row r="52" spans="2:37" ht="12.75" customHeight="1">
      <c r="B52" s="26">
        <f t="shared" si="2"/>
        <v>44</v>
      </c>
      <c r="C52" s="147"/>
      <c r="D52" s="35"/>
      <c r="E52" s="35"/>
      <c r="F52" s="36"/>
      <c r="G52" s="144"/>
      <c r="H52" s="37"/>
      <c r="I52" s="55">
        <f t="shared" si="0"/>
        <v>0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0</v>
      </c>
    </row>
    <row r="53" spans="2:37" ht="12.75" customHeight="1">
      <c r="B53" s="26">
        <f t="shared" si="2"/>
        <v>45</v>
      </c>
      <c r="C53" s="140"/>
      <c r="D53" s="22"/>
      <c r="E53" s="22"/>
      <c r="F53" s="141"/>
      <c r="G53" s="142"/>
      <c r="H53" s="143"/>
      <c r="I53" s="55">
        <f t="shared" si="0"/>
        <v>0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0</v>
      </c>
    </row>
    <row r="54" spans="2:37" ht="12.75" customHeight="1">
      <c r="B54" s="26">
        <f t="shared" si="2"/>
        <v>46</v>
      </c>
      <c r="C54" s="140"/>
      <c r="D54" s="22"/>
      <c r="E54" s="22"/>
      <c r="F54" s="141"/>
      <c r="G54" s="142"/>
      <c r="H54" s="143"/>
      <c r="I54" s="55">
        <f t="shared" si="0"/>
        <v>0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0</v>
      </c>
    </row>
    <row r="55" spans="2:37" ht="12.75" customHeight="1">
      <c r="B55" s="26">
        <f t="shared" si="2"/>
        <v>47</v>
      </c>
      <c r="C55" s="41"/>
      <c r="D55" s="35"/>
      <c r="E55" s="35"/>
      <c r="F55" s="36"/>
      <c r="G55" s="144"/>
      <c r="H55" s="37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41"/>
      <c r="D56" s="35"/>
      <c r="E56" s="35"/>
      <c r="F56" s="36"/>
      <c r="G56" s="144"/>
      <c r="H56" s="37"/>
      <c r="I56" s="55">
        <f t="shared" si="0"/>
        <v>0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0</v>
      </c>
    </row>
    <row r="57" spans="2:37" ht="12.75" customHeight="1">
      <c r="B57" s="26">
        <f t="shared" si="2"/>
        <v>49</v>
      </c>
      <c r="C57" s="41"/>
      <c r="D57" s="35"/>
      <c r="E57" s="35"/>
      <c r="F57" s="36"/>
      <c r="G57" s="144"/>
      <c r="H57" s="37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140"/>
      <c r="D58" s="22"/>
      <c r="E58" s="35"/>
      <c r="F58" s="36"/>
      <c r="G58" s="144"/>
      <c r="H58" s="143"/>
      <c r="I58" s="55">
        <f t="shared" si="0"/>
        <v>0</v>
      </c>
      <c r="J58" s="59"/>
      <c r="K58" s="4"/>
      <c r="L58" s="3"/>
      <c r="M58" s="34"/>
      <c r="N58" s="34"/>
      <c r="O58" s="4"/>
      <c r="P58" s="4"/>
      <c r="Q58" s="4"/>
      <c r="AK58" s="44">
        <f t="shared" si="1"/>
        <v>0</v>
      </c>
    </row>
    <row r="59" spans="2:37" ht="13.5" thickBot="1">
      <c r="E59" s="111"/>
      <c r="F59" s="20"/>
      <c r="G59" s="220"/>
      <c r="H59" s="150" t="s">
        <v>90</v>
      </c>
      <c r="I59" s="89">
        <f>SUM(I9:I58)</f>
        <v>16876.810744999999</v>
      </c>
      <c r="AK59" s="44">
        <f t="shared" si="1"/>
        <v>0</v>
      </c>
    </row>
    <row r="60" spans="2:37">
      <c r="I60" s="50"/>
    </row>
    <row r="61" spans="2:37">
      <c r="I61" s="44"/>
    </row>
    <row r="62" spans="2:37">
      <c r="I62" s="44"/>
    </row>
    <row r="63" spans="2:37">
      <c r="I63" s="44"/>
    </row>
    <row r="64" spans="2:37">
      <c r="I64" s="44"/>
    </row>
  </sheetData>
  <mergeCells count="4">
    <mergeCell ref="C1:H2"/>
    <mergeCell ref="D4:I4"/>
    <mergeCell ref="D5:I5"/>
    <mergeCell ref="D6:I6"/>
  </mergeCells>
  <dataValidations count="3">
    <dataValidation type="list" allowBlank="1" showInputMessage="1" showErrorMessage="1" sqref="J9:J58">
      <formula1>"A-615 GR-60,A-615 GR-40,A706 GR-60"</formula1>
    </dataValidation>
    <dataValidation type="list" allowBlank="1" showInputMessage="1" showErrorMessage="1" sqref="G9:G58">
      <formula1>$CL$15:$CL$24</formula1>
    </dataValidation>
    <dataValidation type="list" allowBlank="1" showInputMessage="1" showErrorMessage="1" sqref="F9:F58">
      <formula1>$CI$16:$CI$38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B1:CL413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C10" sqref="C10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389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I413</f>
        <v>91.482273878575043</v>
      </c>
      <c r="AK8" s="51" t="s">
        <v>52</v>
      </c>
    </row>
    <row r="9" spans="2:90" ht="12.75" customHeight="1">
      <c r="B9" s="26">
        <f>IF(B8="SL.NO",1,B8+1)</f>
        <v>1</v>
      </c>
      <c r="C9" s="42" t="s">
        <v>390</v>
      </c>
      <c r="D9" s="152"/>
      <c r="E9" s="152"/>
      <c r="F9" s="53"/>
      <c r="G9" s="52"/>
      <c r="H9" s="54"/>
      <c r="I9" s="55">
        <f t="shared" ref="I9:I101" si="0">IF(D9="",AK9*H9*E9,AK9*H9*E9*D9)</f>
        <v>0</v>
      </c>
      <c r="J9" s="56"/>
      <c r="AK9" s="44">
        <f t="shared" ref="AK9:AK72" si="1">IF(F9="",0,VLOOKUP(F9,$CI$16:$CJ$408,2,FALSE))</f>
        <v>0</v>
      </c>
    </row>
    <row r="10" spans="2:90" ht="12.75" customHeight="1">
      <c r="B10" s="26">
        <f t="shared" ref="B10:B73" si="2">IF(B9="SL.NO",1,B9+1)</f>
        <v>2</v>
      </c>
      <c r="C10" s="101" t="s">
        <v>391</v>
      </c>
      <c r="D10" s="81"/>
      <c r="E10" s="81"/>
      <c r="F10" s="83"/>
      <c r="G10" s="52"/>
      <c r="H10" s="84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87" t="s">
        <v>392</v>
      </c>
      <c r="D11" s="81"/>
      <c r="E11" s="81"/>
      <c r="F11" s="83"/>
      <c r="G11" s="52"/>
      <c r="H11" s="84"/>
      <c r="I11" s="93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87" t="s">
        <v>393</v>
      </c>
      <c r="D12" s="81"/>
      <c r="E12" s="81"/>
      <c r="F12" s="83"/>
      <c r="G12" s="52"/>
      <c r="H12" s="84"/>
      <c r="I12" s="55">
        <f t="shared" si="0"/>
        <v>0</v>
      </c>
      <c r="J12" s="59"/>
      <c r="K12" s="4"/>
      <c r="M12" s="4"/>
      <c r="N12" s="4"/>
      <c r="O12" s="4"/>
      <c r="P12" s="4"/>
      <c r="Q12" s="4"/>
      <c r="AK12" s="44">
        <f t="shared" si="1"/>
        <v>0</v>
      </c>
    </row>
    <row r="13" spans="2:90" ht="12.75" customHeight="1">
      <c r="B13" s="26">
        <f t="shared" si="2"/>
        <v>5</v>
      </c>
      <c r="C13" s="97" t="s">
        <v>394</v>
      </c>
      <c r="D13" s="81"/>
      <c r="E13" s="81">
        <f>+TRUNC(3.42/1+1.9)</f>
        <v>5</v>
      </c>
      <c r="F13" s="83">
        <v>9</v>
      </c>
      <c r="G13" s="52" t="s">
        <v>57</v>
      </c>
      <c r="H13" s="84">
        <f>25.92+1.75-0.083</f>
        <v>27.587000000000003</v>
      </c>
      <c r="I13" s="55">
        <f t="shared" si="0"/>
        <v>468.97900000000004</v>
      </c>
      <c r="J13" s="59"/>
      <c r="K13" s="4"/>
      <c r="M13" s="4"/>
      <c r="N13" s="4"/>
      <c r="O13" s="5"/>
      <c r="P13" s="4"/>
      <c r="Q13" s="4"/>
      <c r="AK13" s="44">
        <f t="shared" si="1"/>
        <v>3.4</v>
      </c>
    </row>
    <row r="14" spans="2:90" ht="12.75" customHeight="1" thickBot="1">
      <c r="B14" s="26">
        <f t="shared" si="2"/>
        <v>6</v>
      </c>
      <c r="C14" s="97" t="s">
        <v>101</v>
      </c>
      <c r="D14" s="81"/>
      <c r="E14" s="81">
        <f>+TRUNC(3.92/1+1.9)</f>
        <v>5</v>
      </c>
      <c r="F14" s="83">
        <v>5</v>
      </c>
      <c r="G14" s="52" t="s">
        <v>57</v>
      </c>
      <c r="H14" s="84">
        <f>13</f>
        <v>13</v>
      </c>
      <c r="I14" s="55">
        <f t="shared" si="0"/>
        <v>67.795000000000002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1.0429999999999999</v>
      </c>
    </row>
    <row r="15" spans="2:90" ht="12.75" customHeight="1">
      <c r="B15" s="26">
        <f t="shared" si="2"/>
        <v>7</v>
      </c>
      <c r="C15" s="97" t="s">
        <v>395</v>
      </c>
      <c r="D15" s="81"/>
      <c r="E15" s="81">
        <f>+TRUNC(4.5/1+1.9)</f>
        <v>6</v>
      </c>
      <c r="F15" s="83">
        <v>8</v>
      </c>
      <c r="G15" s="52" t="s">
        <v>57</v>
      </c>
      <c r="H15" s="84">
        <f>29+2.83</f>
        <v>31.83</v>
      </c>
      <c r="I15" s="55">
        <f t="shared" si="0"/>
        <v>509.91659999999996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2.67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97" t="s">
        <v>396</v>
      </c>
      <c r="D16" s="81"/>
      <c r="E16" s="81">
        <f>+TRUNC(4.5/0.83+1.9)</f>
        <v>7</v>
      </c>
      <c r="F16" s="83">
        <v>6</v>
      </c>
      <c r="G16" s="52" t="s">
        <v>57</v>
      </c>
      <c r="H16" s="84">
        <f>28.167+2</f>
        <v>30.167000000000002</v>
      </c>
      <c r="I16" s="55">
        <f t="shared" si="0"/>
        <v>317.175838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1.502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97" t="s">
        <v>397</v>
      </c>
      <c r="D17" s="81"/>
      <c r="E17" s="81">
        <f>+TRUNC(4.5/1+1.9)</f>
        <v>6</v>
      </c>
      <c r="F17" s="83">
        <v>7</v>
      </c>
      <c r="G17" s="52" t="s">
        <v>57</v>
      </c>
      <c r="H17" s="84">
        <f>28.167+2.33</f>
        <v>30.497</v>
      </c>
      <c r="I17" s="55">
        <f t="shared" si="0"/>
        <v>374.01520799999997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2.044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97" t="s">
        <v>397</v>
      </c>
      <c r="D18" s="81"/>
      <c r="E18" s="81">
        <f>+TRUNC(4.5/1+1.9)</f>
        <v>6</v>
      </c>
      <c r="F18" s="83">
        <v>7</v>
      </c>
      <c r="G18" s="52" t="s">
        <v>57</v>
      </c>
      <c r="H18" s="84">
        <f>28.92+2.33</f>
        <v>31.25</v>
      </c>
      <c r="I18" s="55">
        <f t="shared" si="0"/>
        <v>383.25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2.044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87" t="s">
        <v>398</v>
      </c>
      <c r="D19" s="81"/>
      <c r="E19" s="81"/>
      <c r="F19" s="83"/>
      <c r="G19" s="52"/>
      <c r="H19" s="84"/>
      <c r="I19" s="55">
        <f t="shared" si="0"/>
        <v>0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0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97" t="s">
        <v>395</v>
      </c>
      <c r="D20" s="81"/>
      <c r="E20" s="81">
        <f>+TRUNC(6.5/1+1.9)</f>
        <v>8</v>
      </c>
      <c r="F20" s="83">
        <v>8</v>
      </c>
      <c r="G20" s="52" t="s">
        <v>57</v>
      </c>
      <c r="H20" s="84">
        <f>26.33+0.5-0.083</f>
        <v>26.747</v>
      </c>
      <c r="I20" s="55">
        <f t="shared" si="0"/>
        <v>571.31592000000001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2.67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97" t="s">
        <v>101</v>
      </c>
      <c r="D21" s="81"/>
      <c r="E21" s="81">
        <f>+TRUNC(7.75/1+1.9)</f>
        <v>9</v>
      </c>
      <c r="F21" s="83">
        <v>5</v>
      </c>
      <c r="G21" s="52" t="s">
        <v>57</v>
      </c>
      <c r="H21" s="84">
        <f>12.83+0.5*2</f>
        <v>13.83</v>
      </c>
      <c r="I21" s="55">
        <f t="shared" si="0"/>
        <v>129.82220999999998</v>
      </c>
      <c r="J21" s="59"/>
      <c r="K21" s="4"/>
      <c r="L21" s="4"/>
      <c r="N21" s="4"/>
      <c r="O21" s="62"/>
      <c r="P21" s="4"/>
      <c r="Q21" s="4"/>
      <c r="AK21" s="44">
        <f t="shared" si="1"/>
        <v>1.0429999999999999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97" t="s">
        <v>397</v>
      </c>
      <c r="D22" s="81"/>
      <c r="E22" s="81">
        <f>+TRUNC(8.92/1+1.9)</f>
        <v>10</v>
      </c>
      <c r="F22" s="83">
        <v>7</v>
      </c>
      <c r="G22" s="52" t="s">
        <v>57</v>
      </c>
      <c r="H22" s="84">
        <f>29+0.5*2</f>
        <v>30</v>
      </c>
      <c r="I22" s="55">
        <f t="shared" si="0"/>
        <v>613.20000000000005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2.044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97" t="s">
        <v>101</v>
      </c>
      <c r="D23" s="81"/>
      <c r="E23" s="81">
        <f>+TRUNC(8.92/1+1.9)</f>
        <v>10</v>
      </c>
      <c r="F23" s="83">
        <v>5</v>
      </c>
      <c r="G23" s="52" t="s">
        <v>57</v>
      </c>
      <c r="H23" s="84">
        <f>28.167+0.5*2</f>
        <v>29.167000000000002</v>
      </c>
      <c r="I23" s="55">
        <f t="shared" si="0"/>
        <v>304.21181000000001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1.0429999999999999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97" t="s">
        <v>399</v>
      </c>
      <c r="D24" s="81"/>
      <c r="E24" s="81">
        <f>+TRUNC(8.92/1+1.9)</f>
        <v>10</v>
      </c>
      <c r="F24" s="83">
        <v>6</v>
      </c>
      <c r="G24" s="52" t="s">
        <v>57</v>
      </c>
      <c r="H24" s="84">
        <f>28.25+0.5*2</f>
        <v>29.25</v>
      </c>
      <c r="I24" s="55">
        <f t="shared" si="0"/>
        <v>439.33500000000004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1.502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97" t="s">
        <v>395</v>
      </c>
      <c r="D25" s="81"/>
      <c r="E25" s="81">
        <f>+TRUNC(8.92/1+1.9)</f>
        <v>10</v>
      </c>
      <c r="F25" s="83">
        <v>8</v>
      </c>
      <c r="G25" s="52" t="s">
        <v>57</v>
      </c>
      <c r="H25" s="84">
        <f>28.92+0.5-0.083</f>
        <v>29.337000000000003</v>
      </c>
      <c r="I25" s="55">
        <f t="shared" si="0"/>
        <v>783.29790000000003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2.67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87" t="s">
        <v>400</v>
      </c>
      <c r="D26" s="81"/>
      <c r="E26" s="81"/>
      <c r="F26" s="83"/>
      <c r="G26" s="52"/>
      <c r="H26" s="84"/>
      <c r="I26" s="55">
        <f t="shared" si="0"/>
        <v>0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0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97" t="s">
        <v>401</v>
      </c>
      <c r="D27" s="81"/>
      <c r="E27" s="81">
        <f>+TRUNC(10.83/0.83+1.9)</f>
        <v>14</v>
      </c>
      <c r="F27" s="83">
        <v>9</v>
      </c>
      <c r="G27" s="52" t="s">
        <v>57</v>
      </c>
      <c r="H27" s="84">
        <f>27.25+0.25-0.083</f>
        <v>27.417000000000002</v>
      </c>
      <c r="I27" s="55">
        <f t="shared" si="0"/>
        <v>1305.0491999999999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3.4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97" t="s">
        <v>101</v>
      </c>
      <c r="D28" s="81"/>
      <c r="E28" s="81">
        <f>+TRUNC(10.75/1+1.9)</f>
        <v>12</v>
      </c>
      <c r="F28" s="83">
        <v>5</v>
      </c>
      <c r="G28" s="52" t="s">
        <v>57</v>
      </c>
      <c r="H28" s="84">
        <f>12.25+1.83</f>
        <v>14.08</v>
      </c>
      <c r="I28" s="55">
        <f t="shared" si="0"/>
        <v>176.22528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1.0429999999999999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97" t="s">
        <v>395</v>
      </c>
      <c r="D29" s="81"/>
      <c r="E29" s="81">
        <f>+TRUNC(11.33/1+1.9)</f>
        <v>13</v>
      </c>
      <c r="F29" s="83">
        <v>8</v>
      </c>
      <c r="G29" s="52" t="s">
        <v>57</v>
      </c>
      <c r="H29" s="84">
        <f>29.75+2.83</f>
        <v>32.58</v>
      </c>
      <c r="I29" s="55">
        <f t="shared" si="0"/>
        <v>1130.8517999999999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2.67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97" t="s">
        <v>396</v>
      </c>
      <c r="D30" s="81"/>
      <c r="E30" s="81">
        <f>+TRUNC(11.83/0.83+1.9)</f>
        <v>16</v>
      </c>
      <c r="F30" s="83">
        <v>6</v>
      </c>
      <c r="G30" s="52" t="s">
        <v>57</v>
      </c>
      <c r="H30" s="84">
        <f>28.167+2</f>
        <v>30.167000000000002</v>
      </c>
      <c r="I30" s="55">
        <f t="shared" si="0"/>
        <v>724.973344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1.502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97" t="s">
        <v>397</v>
      </c>
      <c r="D31" s="81"/>
      <c r="E31" s="81">
        <f>+TRUNC(11.83/1+1.9)</f>
        <v>13</v>
      </c>
      <c r="F31" s="83">
        <v>7</v>
      </c>
      <c r="G31" s="52" t="s">
        <v>57</v>
      </c>
      <c r="H31" s="84">
        <f>28.25+2.33</f>
        <v>30.58</v>
      </c>
      <c r="I31" s="55">
        <f t="shared" si="0"/>
        <v>812.57175999999993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2.044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97" t="s">
        <v>397</v>
      </c>
      <c r="D32" s="81"/>
      <c r="E32" s="81">
        <f>+TRUNC(11.83/1+1.9)</f>
        <v>13</v>
      </c>
      <c r="F32" s="83">
        <v>7</v>
      </c>
      <c r="G32" s="52" t="s">
        <v>57</v>
      </c>
      <c r="H32" s="84">
        <f>28.83+2.33</f>
        <v>31.159999999999997</v>
      </c>
      <c r="I32" s="55">
        <f t="shared" si="0"/>
        <v>827.98351999999988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2.044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97" t="s">
        <v>397</v>
      </c>
      <c r="D33" s="81"/>
      <c r="E33" s="81">
        <f>+TRUNC(12.67/1+1.9)</f>
        <v>14</v>
      </c>
      <c r="F33" s="83">
        <v>7</v>
      </c>
      <c r="G33" s="52" t="s">
        <v>57</v>
      </c>
      <c r="H33" s="84">
        <f>28.83+2.33</f>
        <v>31.159999999999997</v>
      </c>
      <c r="I33" s="55">
        <f t="shared" si="0"/>
        <v>891.67455999999993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2.044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87" t="s">
        <v>282</v>
      </c>
      <c r="D34" s="81"/>
      <c r="E34" s="81"/>
      <c r="F34" s="83"/>
      <c r="G34" s="52"/>
      <c r="H34" s="84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97" t="s">
        <v>395</v>
      </c>
      <c r="D35" s="81"/>
      <c r="E35" s="81">
        <f>+TRUNC(15.167/1+1.9)</f>
        <v>17</v>
      </c>
      <c r="F35" s="83">
        <v>8</v>
      </c>
      <c r="G35" s="52" t="s">
        <v>57</v>
      </c>
      <c r="H35" s="84">
        <f>28.583+0.25-0.083</f>
        <v>28.75</v>
      </c>
      <c r="I35" s="55">
        <f t="shared" si="0"/>
        <v>1304.9625000000001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2.67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97" t="s">
        <v>399</v>
      </c>
      <c r="D36" s="81"/>
      <c r="E36" s="81">
        <f>+TRUNC(13.92/1+1.9)</f>
        <v>15</v>
      </c>
      <c r="F36" s="83">
        <v>6</v>
      </c>
      <c r="G36" s="52" t="s">
        <v>57</v>
      </c>
      <c r="H36" s="84">
        <f>11.33+0.5*2</f>
        <v>12.33</v>
      </c>
      <c r="I36" s="55">
        <f t="shared" si="0"/>
        <v>277.79490000000004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1.502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97" t="s">
        <v>402</v>
      </c>
      <c r="D37" s="81"/>
      <c r="E37" s="81">
        <f>+TRUNC(13.75/0.83+1.9)</f>
        <v>18</v>
      </c>
      <c r="F37" s="83">
        <v>8</v>
      </c>
      <c r="G37" s="52" t="s">
        <v>57</v>
      </c>
      <c r="H37" s="84">
        <f>32.08+0.5*2</f>
        <v>33.08</v>
      </c>
      <c r="I37" s="55">
        <f t="shared" si="0"/>
        <v>1589.8247999999999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2.67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97" t="s">
        <v>101</v>
      </c>
      <c r="D38" s="81"/>
      <c r="E38" s="81">
        <f>+TRUNC(14.67/1+1.9)</f>
        <v>16</v>
      </c>
      <c r="F38" s="83">
        <v>5</v>
      </c>
      <c r="G38" s="52" t="s">
        <v>57</v>
      </c>
      <c r="H38" s="84">
        <f>24+0.83+0.5*2</f>
        <v>25.83</v>
      </c>
      <c r="I38" s="55">
        <f t="shared" si="0"/>
        <v>431.05103999999994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1.0429999999999999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97" t="s">
        <v>397</v>
      </c>
      <c r="D39" s="81"/>
      <c r="E39" s="81">
        <f>+TRUNC(14.67/1+1.9)</f>
        <v>16</v>
      </c>
      <c r="F39" s="83">
        <v>7</v>
      </c>
      <c r="G39" s="52" t="s">
        <v>57</v>
      </c>
      <c r="H39" s="84">
        <f>28.5+0.5*2</f>
        <v>29.5</v>
      </c>
      <c r="I39" s="55">
        <f t="shared" si="0"/>
        <v>964.76800000000003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2.044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97" t="s">
        <v>399</v>
      </c>
      <c r="D40" s="81"/>
      <c r="E40" s="81">
        <f>+TRUNC(14.67/1+1.9)</f>
        <v>16</v>
      </c>
      <c r="F40" s="83">
        <v>6</v>
      </c>
      <c r="G40" s="52" t="s">
        <v>57</v>
      </c>
      <c r="H40" s="84">
        <f>29.25+0.5*2</f>
        <v>30.25</v>
      </c>
      <c r="I40" s="55">
        <f t="shared" si="0"/>
        <v>726.96799999999996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1.502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97" t="s">
        <v>399</v>
      </c>
      <c r="D41" s="81"/>
      <c r="E41" s="81">
        <f>+TRUNC(14.67/1+1.9)</f>
        <v>16</v>
      </c>
      <c r="F41" s="83">
        <v>6</v>
      </c>
      <c r="G41" s="52" t="s">
        <v>57</v>
      </c>
      <c r="H41" s="84">
        <f>14.583-0.083+0.5</f>
        <v>15</v>
      </c>
      <c r="I41" s="55">
        <f t="shared" si="0"/>
        <v>360.48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1.502</v>
      </c>
    </row>
    <row r="42" spans="2:88" ht="12.75" customHeight="1">
      <c r="B42" s="26">
        <f t="shared" si="2"/>
        <v>34</v>
      </c>
      <c r="C42" s="87" t="s">
        <v>400</v>
      </c>
      <c r="D42" s="81"/>
      <c r="E42" s="81"/>
      <c r="F42" s="83"/>
      <c r="G42" s="52"/>
      <c r="H42" s="84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</v>
      </c>
    </row>
    <row r="43" spans="2:88" ht="12.75" customHeight="1">
      <c r="B43" s="26">
        <f t="shared" si="2"/>
        <v>35</v>
      </c>
      <c r="C43" s="97" t="s">
        <v>401</v>
      </c>
      <c r="D43" s="81"/>
      <c r="E43" s="81">
        <f>+TRUNC(11.583/0.83+1.9)</f>
        <v>15</v>
      </c>
      <c r="F43" s="83">
        <v>9</v>
      </c>
      <c r="G43" s="52" t="s">
        <v>57</v>
      </c>
      <c r="H43" s="84">
        <f>29.67-0.083+1.75</f>
        <v>31.337000000000003</v>
      </c>
      <c r="I43" s="55">
        <f t="shared" si="0"/>
        <v>1598.1870000000001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3.4</v>
      </c>
    </row>
    <row r="44" spans="2:88" ht="12.75" customHeight="1">
      <c r="B44" s="26">
        <f t="shared" si="2"/>
        <v>36</v>
      </c>
      <c r="C44" s="97" t="s">
        <v>101</v>
      </c>
      <c r="D44" s="81"/>
      <c r="E44" s="81">
        <f>+TRUNC(6.92/1+1.9)</f>
        <v>8</v>
      </c>
      <c r="F44" s="83">
        <v>5</v>
      </c>
      <c r="G44" s="52" t="s">
        <v>57</v>
      </c>
      <c r="H44" s="84">
        <f>10.67+1.83</f>
        <v>12.5</v>
      </c>
      <c r="I44" s="55">
        <f t="shared" si="0"/>
        <v>104.3</v>
      </c>
      <c r="J44" s="59"/>
      <c r="K44" s="4"/>
      <c r="L44" s="3"/>
      <c r="M44" s="34"/>
      <c r="N44" s="34"/>
      <c r="O44" s="4"/>
      <c r="P44" s="4"/>
      <c r="Q44" s="4"/>
      <c r="AK44" s="44">
        <f t="shared" si="1"/>
        <v>1.0429999999999999</v>
      </c>
    </row>
    <row r="45" spans="2:88" ht="12.75" customHeight="1">
      <c r="B45" s="26">
        <f t="shared" si="2"/>
        <v>37</v>
      </c>
      <c r="C45" s="97" t="s">
        <v>403</v>
      </c>
      <c r="D45" s="81"/>
      <c r="E45" s="81">
        <f>+TRUNC(11.583/0.75+1.9)</f>
        <v>17</v>
      </c>
      <c r="F45" s="83">
        <v>9</v>
      </c>
      <c r="G45" s="52" t="s">
        <v>57</v>
      </c>
      <c r="H45" s="84">
        <f>34.083+1.83</f>
        <v>35.912999999999997</v>
      </c>
      <c r="I45" s="55">
        <f t="shared" si="0"/>
        <v>2075.7713999999996</v>
      </c>
      <c r="J45" s="59"/>
      <c r="K45" s="4"/>
      <c r="L45" s="3"/>
      <c r="M45" s="34"/>
      <c r="N45" s="3"/>
      <c r="O45" s="4"/>
      <c r="P45" s="4"/>
      <c r="Q45" s="4"/>
      <c r="AK45" s="44">
        <f t="shared" si="1"/>
        <v>3.4</v>
      </c>
    </row>
    <row r="46" spans="2:88" ht="12.75" customHeight="1">
      <c r="B46" s="26">
        <f t="shared" si="2"/>
        <v>38</v>
      </c>
      <c r="C46" s="97" t="s">
        <v>101</v>
      </c>
      <c r="D46" s="81"/>
      <c r="E46" s="81">
        <f>+TRUNC(11.67/1+1.9)</f>
        <v>13</v>
      </c>
      <c r="F46" s="83">
        <v>5</v>
      </c>
      <c r="G46" s="52" t="s">
        <v>57</v>
      </c>
      <c r="H46" s="84">
        <f>21.42+1.83</f>
        <v>23.25</v>
      </c>
      <c r="I46" s="55">
        <f t="shared" si="0"/>
        <v>315.24674999999996</v>
      </c>
      <c r="J46" s="59"/>
      <c r="K46" s="4"/>
      <c r="L46" s="3"/>
      <c r="M46" s="34"/>
      <c r="N46" s="34"/>
      <c r="O46" s="4"/>
      <c r="P46" s="4"/>
      <c r="Q46" s="4"/>
      <c r="AK46" s="44">
        <f t="shared" si="1"/>
        <v>1.0429999999999999</v>
      </c>
    </row>
    <row r="47" spans="2:88" ht="12.75" customHeight="1">
      <c r="B47" s="26">
        <f t="shared" si="2"/>
        <v>39</v>
      </c>
      <c r="C47" s="97" t="s">
        <v>395</v>
      </c>
      <c r="D47" s="81"/>
      <c r="E47" s="81">
        <f>+TRUNC(11.67/1+1.9)</f>
        <v>13</v>
      </c>
      <c r="F47" s="83">
        <v>8</v>
      </c>
      <c r="G47" s="52" t="s">
        <v>57</v>
      </c>
      <c r="H47" s="84">
        <f>28.583+2.83</f>
        <v>31.412999999999997</v>
      </c>
      <c r="I47" s="55">
        <f t="shared" si="0"/>
        <v>1090.3452299999999</v>
      </c>
      <c r="J47" s="59"/>
      <c r="K47" s="4"/>
      <c r="L47" s="3"/>
      <c r="M47" s="34"/>
      <c r="N47" s="34"/>
      <c r="O47" s="4"/>
      <c r="P47" s="4"/>
      <c r="Q47" s="4"/>
      <c r="AK47" s="44">
        <f t="shared" si="1"/>
        <v>2.67</v>
      </c>
    </row>
    <row r="48" spans="2:88" ht="12.75" customHeight="1">
      <c r="B48" s="26">
        <f t="shared" si="2"/>
        <v>40</v>
      </c>
      <c r="C48" s="97" t="s">
        <v>397</v>
      </c>
      <c r="D48" s="81"/>
      <c r="E48" s="81">
        <f>+TRUNC(11.5/1+1.9)</f>
        <v>13</v>
      </c>
      <c r="F48" s="83">
        <v>7</v>
      </c>
      <c r="G48" s="52" t="s">
        <v>57</v>
      </c>
      <c r="H48" s="84">
        <f>29.5+2.33</f>
        <v>31.83</v>
      </c>
      <c r="I48" s="55">
        <f t="shared" si="0"/>
        <v>845.78675999999996</v>
      </c>
      <c r="J48" s="59"/>
      <c r="K48" s="4"/>
      <c r="M48" s="4"/>
      <c r="N48" s="4"/>
      <c r="O48" s="4"/>
      <c r="P48" s="4"/>
      <c r="Q48" s="4"/>
      <c r="AK48" s="44">
        <f t="shared" si="1"/>
        <v>2.044</v>
      </c>
    </row>
    <row r="49" spans="2:37" ht="12.75" customHeight="1">
      <c r="B49" s="26">
        <f t="shared" si="2"/>
        <v>41</v>
      </c>
      <c r="C49" s="97" t="s">
        <v>396</v>
      </c>
      <c r="D49" s="81"/>
      <c r="E49" s="81">
        <f>+TRUNC(11.33/0.83+1.9)</f>
        <v>15</v>
      </c>
      <c r="F49" s="83">
        <v>6</v>
      </c>
      <c r="G49" s="52" t="s">
        <v>57</v>
      </c>
      <c r="H49" s="84">
        <f>14.42+1-0.083</f>
        <v>15.337</v>
      </c>
      <c r="I49" s="55">
        <f t="shared" si="0"/>
        <v>345.54260999999997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1.502</v>
      </c>
    </row>
    <row r="50" spans="2:37" ht="12.75" customHeight="1">
      <c r="B50" s="26">
        <f t="shared" si="2"/>
        <v>42</v>
      </c>
      <c r="C50" s="87" t="s">
        <v>282</v>
      </c>
      <c r="D50" s="81"/>
      <c r="E50" s="81"/>
      <c r="F50" s="83"/>
      <c r="G50" s="52"/>
      <c r="H50" s="84"/>
      <c r="I50" s="55">
        <f t="shared" si="0"/>
        <v>0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</v>
      </c>
    </row>
    <row r="51" spans="2:37" ht="12.75" customHeight="1">
      <c r="B51" s="26">
        <f t="shared" si="2"/>
        <v>43</v>
      </c>
      <c r="C51" s="97" t="s">
        <v>402</v>
      </c>
      <c r="D51" s="81"/>
      <c r="E51" s="81">
        <f>+TRUNC(9.583/0.83+1.9)</f>
        <v>13</v>
      </c>
      <c r="F51" s="83">
        <v>8</v>
      </c>
      <c r="G51" s="52" t="s">
        <v>57</v>
      </c>
      <c r="H51" s="84">
        <f>32.583-0.083+0.5</f>
        <v>33</v>
      </c>
      <c r="I51" s="55">
        <f t="shared" si="0"/>
        <v>1145.43</v>
      </c>
      <c r="J51" s="59"/>
      <c r="L51" s="4"/>
      <c r="M51" s="4"/>
      <c r="N51" s="4"/>
      <c r="O51" s="4"/>
      <c r="P51" s="4"/>
      <c r="Q51" s="4"/>
      <c r="AK51" s="44">
        <f t="shared" si="1"/>
        <v>2.67</v>
      </c>
    </row>
    <row r="52" spans="2:37" ht="12.75" customHeight="1">
      <c r="B52" s="26">
        <f t="shared" si="2"/>
        <v>44</v>
      </c>
      <c r="C52" s="97" t="s">
        <v>101</v>
      </c>
      <c r="D52" s="81"/>
      <c r="E52" s="81">
        <f>+TRUNC(8.75/1+1.9)</f>
        <v>10</v>
      </c>
      <c r="F52" s="83">
        <v>5</v>
      </c>
      <c r="G52" s="52" t="s">
        <v>57</v>
      </c>
      <c r="H52" s="84">
        <f>19.67+0.5*2</f>
        <v>20.67</v>
      </c>
      <c r="I52" s="55">
        <f t="shared" si="0"/>
        <v>215.5881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1.0429999999999999</v>
      </c>
    </row>
    <row r="53" spans="2:37" ht="12.75" customHeight="1">
      <c r="B53" s="26">
        <f t="shared" si="2"/>
        <v>45</v>
      </c>
      <c r="C53" s="97" t="s">
        <v>396</v>
      </c>
      <c r="D53" s="81"/>
      <c r="E53" s="81">
        <f>+TRUNC(8.75/0.83+1.9)</f>
        <v>12</v>
      </c>
      <c r="F53" s="83">
        <v>6</v>
      </c>
      <c r="G53" s="52" t="s">
        <v>57</v>
      </c>
      <c r="H53" s="84">
        <f>28.42+0.5*2</f>
        <v>29.42</v>
      </c>
      <c r="I53" s="55">
        <f t="shared" si="0"/>
        <v>530.2660800000001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1.502</v>
      </c>
    </row>
    <row r="54" spans="2:37" ht="12.75" customHeight="1">
      <c r="B54" s="26">
        <f t="shared" si="2"/>
        <v>46</v>
      </c>
      <c r="C54" s="97" t="s">
        <v>401</v>
      </c>
      <c r="D54" s="81"/>
      <c r="E54" s="81">
        <f>+TRUNC(8.42/0.83+1.9)</f>
        <v>12</v>
      </c>
      <c r="F54" s="83">
        <v>9</v>
      </c>
      <c r="G54" s="52" t="s">
        <v>57</v>
      </c>
      <c r="H54" s="84">
        <f>20.75+0.5*2</f>
        <v>21.75</v>
      </c>
      <c r="I54" s="55">
        <f t="shared" si="0"/>
        <v>887.40000000000009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3.4</v>
      </c>
    </row>
    <row r="55" spans="2:37" ht="12.75" customHeight="1">
      <c r="B55" s="26">
        <f t="shared" si="2"/>
        <v>47</v>
      </c>
      <c r="C55" s="97" t="s">
        <v>101</v>
      </c>
      <c r="D55" s="81"/>
      <c r="E55" s="81">
        <f>+TRUNC(3.67-0.5/1+1.9)</f>
        <v>5</v>
      </c>
      <c r="F55" s="83">
        <v>5</v>
      </c>
      <c r="G55" s="52" t="s">
        <v>57</v>
      </c>
      <c r="H55" s="84">
        <f>7.33-0.083*2</f>
        <v>7.1639999999999997</v>
      </c>
      <c r="I55" s="55">
        <f t="shared" si="0"/>
        <v>37.360259999999997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1.0429999999999999</v>
      </c>
    </row>
    <row r="56" spans="2:37" ht="12.75" customHeight="1">
      <c r="B56" s="26">
        <f t="shared" si="2"/>
        <v>48</v>
      </c>
      <c r="C56" s="97" t="s">
        <v>101</v>
      </c>
      <c r="D56" s="81"/>
      <c r="E56" s="81">
        <f>+TRUNC(4.583/1+1.9)</f>
        <v>6</v>
      </c>
      <c r="F56" s="83">
        <v>5</v>
      </c>
      <c r="G56" s="52" t="s">
        <v>57</v>
      </c>
      <c r="H56" s="84">
        <f>19.583-0.083</f>
        <v>19.5</v>
      </c>
      <c r="I56" s="55">
        <f t="shared" si="0"/>
        <v>122.03100000000001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1.0429999999999999</v>
      </c>
    </row>
    <row r="57" spans="2:37" ht="12.75" customHeight="1">
      <c r="B57" s="26">
        <f t="shared" si="2"/>
        <v>49</v>
      </c>
      <c r="C57" s="87" t="s">
        <v>400</v>
      </c>
      <c r="D57" s="81"/>
      <c r="E57" s="81"/>
      <c r="F57" s="83"/>
      <c r="G57" s="52"/>
      <c r="H57" s="84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97" t="s">
        <v>394</v>
      </c>
      <c r="D58" s="81"/>
      <c r="E58" s="81">
        <f>+TRUNC(4.583/1+1.9)</f>
        <v>6</v>
      </c>
      <c r="F58" s="83">
        <v>9</v>
      </c>
      <c r="G58" s="52" t="s">
        <v>57</v>
      </c>
      <c r="H58" s="84">
        <f>32.5-0.083+1.75</f>
        <v>34.167000000000002</v>
      </c>
      <c r="I58" s="55">
        <f t="shared" si="0"/>
        <v>697.0068</v>
      </c>
      <c r="J58" s="59"/>
      <c r="K58" s="4"/>
      <c r="L58" s="4"/>
      <c r="M58" s="4"/>
      <c r="N58" s="4"/>
      <c r="O58" s="4"/>
      <c r="P58" s="4"/>
      <c r="Q58" s="4"/>
      <c r="AK58" s="44">
        <f t="shared" si="1"/>
        <v>3.4</v>
      </c>
    </row>
    <row r="59" spans="2:37" ht="12.75" customHeight="1">
      <c r="B59" s="26">
        <f t="shared" si="2"/>
        <v>51</v>
      </c>
      <c r="C59" s="97" t="s">
        <v>404</v>
      </c>
      <c r="D59" s="81"/>
      <c r="E59" s="81">
        <f>+TRUNC(4.583/1+1.9)</f>
        <v>6</v>
      </c>
      <c r="F59" s="83">
        <v>6</v>
      </c>
      <c r="G59" s="52" t="s">
        <v>57</v>
      </c>
      <c r="H59" s="84">
        <f>19.83+2</f>
        <v>21.83</v>
      </c>
      <c r="I59" s="55">
        <f t="shared" si="0"/>
        <v>196.73196000000002</v>
      </c>
      <c r="J59" s="59"/>
      <c r="K59" s="4"/>
      <c r="M59" s="4"/>
      <c r="N59" s="4"/>
      <c r="O59" s="4"/>
      <c r="P59" s="4"/>
      <c r="Q59" s="4"/>
      <c r="AK59" s="44">
        <f t="shared" si="1"/>
        <v>1.502</v>
      </c>
    </row>
    <row r="60" spans="2:37" ht="12.75" customHeight="1">
      <c r="B60" s="26">
        <f t="shared" si="2"/>
        <v>52</v>
      </c>
      <c r="C60" s="97" t="s">
        <v>405</v>
      </c>
      <c r="D60" s="81"/>
      <c r="E60" s="81">
        <v>3</v>
      </c>
      <c r="F60" s="83">
        <v>6</v>
      </c>
      <c r="G60" s="52" t="s">
        <v>57</v>
      </c>
      <c r="H60" s="84">
        <f>28.083+2</f>
        <v>30.082999999999998</v>
      </c>
      <c r="I60" s="55">
        <f t="shared" si="0"/>
        <v>135.55399800000001</v>
      </c>
      <c r="J60" s="59"/>
      <c r="K60" s="4"/>
      <c r="L60" s="4"/>
      <c r="M60" s="34"/>
      <c r="N60" s="34"/>
      <c r="O60" s="4"/>
      <c r="P60" s="4"/>
      <c r="Q60" s="4"/>
      <c r="AK60" s="44">
        <f t="shared" si="1"/>
        <v>1.502</v>
      </c>
    </row>
    <row r="61" spans="2:37" ht="12.75" customHeight="1">
      <c r="B61" s="26">
        <f t="shared" si="2"/>
        <v>53</v>
      </c>
      <c r="C61" s="97" t="s">
        <v>406</v>
      </c>
      <c r="D61" s="81"/>
      <c r="E61" s="81">
        <v>3</v>
      </c>
      <c r="F61" s="83">
        <v>7</v>
      </c>
      <c r="G61" s="52" t="s">
        <v>57</v>
      </c>
      <c r="H61" s="84">
        <f>28.083+2.33</f>
        <v>30.412999999999997</v>
      </c>
      <c r="I61" s="55">
        <f t="shared" si="0"/>
        <v>186.49251599999997</v>
      </c>
      <c r="J61" s="59"/>
      <c r="K61" s="4"/>
      <c r="L61" s="3"/>
      <c r="M61" s="34"/>
      <c r="N61" s="34"/>
      <c r="O61" s="4"/>
      <c r="P61" s="4"/>
      <c r="Q61" s="4"/>
      <c r="AK61" s="44">
        <f t="shared" si="1"/>
        <v>2.044</v>
      </c>
    </row>
    <row r="62" spans="2:37" ht="12.75" customHeight="1">
      <c r="B62" s="26">
        <f t="shared" si="2"/>
        <v>54</v>
      </c>
      <c r="C62" s="97" t="s">
        <v>402</v>
      </c>
      <c r="D62" s="81"/>
      <c r="E62" s="81">
        <f>+TRUNC(3.167/0.83+1.9)</f>
        <v>5</v>
      </c>
      <c r="F62" s="83">
        <v>8</v>
      </c>
      <c r="G62" s="52" t="s">
        <v>57</v>
      </c>
      <c r="H62" s="84">
        <f>21.92+1.42</f>
        <v>23.340000000000003</v>
      </c>
      <c r="I62" s="55">
        <f t="shared" si="0"/>
        <v>311.58900000000006</v>
      </c>
      <c r="J62" s="59"/>
      <c r="L62" s="3"/>
      <c r="M62" s="34"/>
      <c r="N62" s="3"/>
      <c r="O62" s="4"/>
      <c r="P62" s="4"/>
      <c r="Q62" s="4"/>
      <c r="AK62" s="44">
        <f t="shared" si="1"/>
        <v>2.67</v>
      </c>
    </row>
    <row r="63" spans="2:37" ht="12.75" customHeight="1">
      <c r="B63" s="26">
        <f t="shared" si="2"/>
        <v>55</v>
      </c>
      <c r="C63" s="97" t="s">
        <v>402</v>
      </c>
      <c r="D63" s="81"/>
      <c r="E63" s="81">
        <f>+TRUNC(6.167/0.83+1.9)</f>
        <v>9</v>
      </c>
      <c r="F63" s="83">
        <v>8</v>
      </c>
      <c r="G63" s="52" t="s">
        <v>57</v>
      </c>
      <c r="H63" s="84">
        <f>29.83+2.83</f>
        <v>32.659999999999997</v>
      </c>
      <c r="I63" s="55">
        <f t="shared" si="0"/>
        <v>784.81979999999987</v>
      </c>
      <c r="J63" s="59"/>
      <c r="K63" s="4"/>
      <c r="L63" s="3"/>
      <c r="M63" s="34"/>
      <c r="N63" s="34"/>
      <c r="O63" s="4"/>
      <c r="P63" s="4"/>
      <c r="Q63" s="4"/>
      <c r="AK63" s="44">
        <f t="shared" si="1"/>
        <v>2.67</v>
      </c>
    </row>
    <row r="64" spans="2:37" ht="12.75" customHeight="1">
      <c r="B64" s="26">
        <f t="shared" si="2"/>
        <v>56</v>
      </c>
      <c r="C64" s="97" t="s">
        <v>399</v>
      </c>
      <c r="D64" s="81"/>
      <c r="E64" s="81">
        <f>+TRUNC(8.92/1+1.9)</f>
        <v>10</v>
      </c>
      <c r="F64" s="83">
        <v>6</v>
      </c>
      <c r="G64" s="52" t="s">
        <v>57</v>
      </c>
      <c r="H64" s="84">
        <f>14.083+1-0.083</f>
        <v>15</v>
      </c>
      <c r="I64" s="55">
        <f t="shared" si="0"/>
        <v>225.3</v>
      </c>
      <c r="J64" s="59"/>
      <c r="K64" s="4"/>
      <c r="L64" s="3"/>
      <c r="M64" s="34"/>
      <c r="N64" s="34"/>
      <c r="O64" s="4"/>
      <c r="P64" s="4"/>
      <c r="Q64" s="4"/>
      <c r="AK64" s="44">
        <f t="shared" si="1"/>
        <v>1.502</v>
      </c>
    </row>
    <row r="65" spans="2:37" ht="12.75" customHeight="1">
      <c r="B65" s="26">
        <f t="shared" si="2"/>
        <v>57</v>
      </c>
      <c r="C65" s="87" t="s">
        <v>282</v>
      </c>
      <c r="D65" s="81"/>
      <c r="E65" s="81"/>
      <c r="F65" s="83"/>
      <c r="G65" s="52"/>
      <c r="H65" s="84"/>
      <c r="I65" s="55">
        <f t="shared" si="0"/>
        <v>0</v>
      </c>
      <c r="J65" s="59"/>
      <c r="K65" s="4"/>
      <c r="L65" s="4"/>
      <c r="M65" s="4"/>
      <c r="N65" s="4"/>
      <c r="O65" s="4"/>
      <c r="P65" s="4"/>
      <c r="Q65" s="4"/>
      <c r="AK65" s="44">
        <f t="shared" si="1"/>
        <v>0</v>
      </c>
    </row>
    <row r="66" spans="2:37" ht="12.75" customHeight="1">
      <c r="B66" s="26">
        <f t="shared" si="2"/>
        <v>58</v>
      </c>
      <c r="C66" s="97" t="s">
        <v>402</v>
      </c>
      <c r="D66" s="81"/>
      <c r="E66" s="81">
        <f>+TRUNC(8.75/0.83+1.9)</f>
        <v>12</v>
      </c>
      <c r="F66" s="83">
        <v>8</v>
      </c>
      <c r="G66" s="52" t="s">
        <v>57</v>
      </c>
      <c r="H66" s="84">
        <f>31.75-0.083+0.5</f>
        <v>32.167000000000002</v>
      </c>
      <c r="I66" s="55">
        <f t="shared" si="0"/>
        <v>1030.63068</v>
      </c>
      <c r="J66" s="59"/>
      <c r="K66" s="4"/>
      <c r="L66" s="4"/>
      <c r="M66" s="4"/>
      <c r="N66" s="4"/>
      <c r="O66" s="4"/>
      <c r="P66" s="4"/>
      <c r="Q66" s="4"/>
      <c r="AK66" s="44">
        <f t="shared" si="1"/>
        <v>2.67</v>
      </c>
    </row>
    <row r="67" spans="2:37" ht="12.75" customHeight="1">
      <c r="B67" s="26">
        <f t="shared" si="2"/>
        <v>59</v>
      </c>
      <c r="C67" s="97" t="s">
        <v>101</v>
      </c>
      <c r="D67" s="81"/>
      <c r="E67" s="81">
        <f>+TRUNC(9.92/1+1.9)</f>
        <v>11</v>
      </c>
      <c r="F67" s="83">
        <v>5</v>
      </c>
      <c r="G67" s="52" t="s">
        <v>57</v>
      </c>
      <c r="H67" s="84">
        <f>20.67+0.5*2</f>
        <v>21.67</v>
      </c>
      <c r="I67" s="55">
        <f t="shared" si="0"/>
        <v>248.61991</v>
      </c>
      <c r="J67" s="59"/>
      <c r="K67" s="4"/>
      <c r="L67" s="4"/>
      <c r="M67" s="4"/>
      <c r="N67" s="4"/>
      <c r="O67" s="4"/>
      <c r="P67" s="4"/>
      <c r="Q67" s="4"/>
      <c r="AK67" s="44">
        <f t="shared" si="1"/>
        <v>1.0429999999999999</v>
      </c>
    </row>
    <row r="68" spans="2:37" ht="12.75" customHeight="1">
      <c r="B68" s="26">
        <f t="shared" si="2"/>
        <v>60</v>
      </c>
      <c r="C68" s="97" t="s">
        <v>101</v>
      </c>
      <c r="D68" s="81"/>
      <c r="E68" s="81">
        <f>+TRUNC(9.92/1+1.9)</f>
        <v>11</v>
      </c>
      <c r="F68" s="83">
        <v>5</v>
      </c>
      <c r="G68" s="52" t="s">
        <v>57</v>
      </c>
      <c r="H68" s="84">
        <f>27.42+0.5*2</f>
        <v>28.42</v>
      </c>
      <c r="I68" s="55">
        <f t="shared" si="0"/>
        <v>326.06265999999999</v>
      </c>
      <c r="J68" s="59"/>
      <c r="K68" s="4"/>
      <c r="L68" s="4"/>
      <c r="M68" s="4"/>
      <c r="N68" s="4"/>
      <c r="O68" s="4"/>
      <c r="P68" s="4"/>
      <c r="Q68" s="4"/>
      <c r="AK68" s="44">
        <f t="shared" si="1"/>
        <v>1.0429999999999999</v>
      </c>
    </row>
    <row r="69" spans="2:37" ht="12.75" customHeight="1">
      <c r="B69" s="26">
        <f t="shared" si="2"/>
        <v>61</v>
      </c>
      <c r="C69" s="97" t="s">
        <v>407</v>
      </c>
      <c r="D69" s="81"/>
      <c r="E69" s="81">
        <f>+TRUNC(10.33/0.83+1.9)</f>
        <v>14</v>
      </c>
      <c r="F69" s="83">
        <v>7</v>
      </c>
      <c r="G69" s="52" t="s">
        <v>57</v>
      </c>
      <c r="H69" s="84">
        <f>30.5+0.5*2</f>
        <v>31.5</v>
      </c>
      <c r="I69" s="55">
        <f t="shared" si="0"/>
        <v>901.404</v>
      </c>
      <c r="J69" s="59"/>
      <c r="K69" s="4"/>
      <c r="L69" s="4"/>
      <c r="M69" s="34"/>
      <c r="N69" s="34"/>
      <c r="O69" s="4"/>
      <c r="P69" s="4"/>
      <c r="Q69" s="4"/>
      <c r="AK69" s="44">
        <f t="shared" si="1"/>
        <v>2.044</v>
      </c>
    </row>
    <row r="70" spans="2:37" ht="12.75" customHeight="1">
      <c r="B70" s="26">
        <f t="shared" si="2"/>
        <v>62</v>
      </c>
      <c r="C70" s="97" t="s">
        <v>101</v>
      </c>
      <c r="D70" s="81"/>
      <c r="E70" s="81">
        <f>+TRUNC(10.67/0.83+1.9)</f>
        <v>14</v>
      </c>
      <c r="F70" s="83">
        <v>5</v>
      </c>
      <c r="G70" s="52" t="s">
        <v>57</v>
      </c>
      <c r="H70" s="84">
        <f>13.67+0.5-0.083</f>
        <v>14.087</v>
      </c>
      <c r="I70" s="55">
        <f t="shared" si="0"/>
        <v>205.69837399999997</v>
      </c>
      <c r="J70" s="59"/>
      <c r="K70" s="4"/>
      <c r="L70" s="3"/>
      <c r="M70" s="34"/>
      <c r="N70" s="34"/>
      <c r="O70" s="4"/>
      <c r="P70" s="4"/>
      <c r="Q70" s="4"/>
      <c r="AK70" s="44">
        <f t="shared" si="1"/>
        <v>1.0429999999999999</v>
      </c>
    </row>
    <row r="71" spans="2:37" ht="12.75" customHeight="1">
      <c r="B71" s="26">
        <f t="shared" si="2"/>
        <v>63</v>
      </c>
      <c r="C71" s="97" t="s">
        <v>408</v>
      </c>
      <c r="D71" s="81"/>
      <c r="E71" s="81">
        <v>4</v>
      </c>
      <c r="F71" s="83">
        <v>9</v>
      </c>
      <c r="G71" s="52" t="s">
        <v>57</v>
      </c>
      <c r="H71" s="84">
        <v>23.83</v>
      </c>
      <c r="I71" s="55">
        <f t="shared" si="0"/>
        <v>324.08799999999997</v>
      </c>
      <c r="J71" s="59"/>
      <c r="K71" s="4"/>
      <c r="L71" s="3"/>
      <c r="M71" s="34"/>
      <c r="N71" s="3"/>
      <c r="O71" s="4"/>
      <c r="P71" s="4"/>
      <c r="Q71" s="4"/>
      <c r="AK71" s="44">
        <f t="shared" si="1"/>
        <v>3.4</v>
      </c>
    </row>
    <row r="72" spans="2:37" ht="12.75" customHeight="1">
      <c r="B72" s="26">
        <f t="shared" si="2"/>
        <v>64</v>
      </c>
      <c r="C72" s="97" t="s">
        <v>409</v>
      </c>
      <c r="D72" s="81"/>
      <c r="E72" s="81">
        <v>3</v>
      </c>
      <c r="F72" s="83">
        <v>8</v>
      </c>
      <c r="G72" s="52" t="s">
        <v>57</v>
      </c>
      <c r="H72" s="84">
        <v>23.67</v>
      </c>
      <c r="I72" s="55">
        <f t="shared" si="0"/>
        <v>189.5967</v>
      </c>
      <c r="J72" s="59"/>
      <c r="K72" s="4"/>
      <c r="L72" s="3"/>
      <c r="M72" s="34"/>
      <c r="N72" s="34"/>
      <c r="O72" s="4"/>
      <c r="P72" s="4"/>
      <c r="Q72" s="4"/>
      <c r="AK72" s="44">
        <f t="shared" si="1"/>
        <v>2.67</v>
      </c>
    </row>
    <row r="73" spans="2:37" ht="12.75" customHeight="1">
      <c r="B73" s="26">
        <f t="shared" si="2"/>
        <v>65</v>
      </c>
      <c r="C73" s="87" t="s">
        <v>400</v>
      </c>
      <c r="D73" s="81"/>
      <c r="E73" s="81"/>
      <c r="F73" s="83"/>
      <c r="G73" s="52"/>
      <c r="H73" s="84"/>
      <c r="I73" s="55">
        <f t="shared" si="0"/>
        <v>0</v>
      </c>
      <c r="J73" s="59"/>
      <c r="K73" s="4"/>
      <c r="L73" s="3"/>
      <c r="M73" s="34"/>
      <c r="N73" s="34"/>
      <c r="O73" s="4"/>
      <c r="P73" s="4"/>
      <c r="Q73" s="4"/>
      <c r="AK73" s="44">
        <f t="shared" ref="AK73:AK136" si="3">IF(F73="",0,VLOOKUP(F73,$CI$16:$CJ$408,2,FALSE))</f>
        <v>0</v>
      </c>
    </row>
    <row r="74" spans="2:37" ht="12.75" customHeight="1">
      <c r="B74" s="26">
        <f t="shared" ref="B74:B137" si="4">IF(B73="SL.NO",1,B73+1)</f>
        <v>66</v>
      </c>
      <c r="C74" s="97" t="s">
        <v>101</v>
      </c>
      <c r="D74" s="81"/>
      <c r="E74" s="81">
        <f>+TRUNC(26.583/1+1.9)</f>
        <v>28</v>
      </c>
      <c r="F74" s="83">
        <v>5</v>
      </c>
      <c r="G74" s="52" t="s">
        <v>57</v>
      </c>
      <c r="H74" s="84">
        <v>29.75</v>
      </c>
      <c r="I74" s="55">
        <f t="shared" si="0"/>
        <v>868.81899999999996</v>
      </c>
      <c r="J74" s="59"/>
      <c r="K74" s="4"/>
      <c r="L74" s="4"/>
      <c r="M74" s="4"/>
      <c r="N74" s="4"/>
      <c r="O74" s="4"/>
      <c r="P74" s="4"/>
      <c r="Q74" s="4"/>
      <c r="AK74" s="44">
        <f t="shared" si="3"/>
        <v>1.0429999999999999</v>
      </c>
    </row>
    <row r="75" spans="2:37" ht="12.75" customHeight="1">
      <c r="B75" s="26">
        <f t="shared" si="4"/>
        <v>67</v>
      </c>
      <c r="C75" s="97" t="s">
        <v>397</v>
      </c>
      <c r="D75" s="81"/>
      <c r="E75" s="81">
        <f>+TRUNC(6.67/1+1.9)</f>
        <v>8</v>
      </c>
      <c r="F75" s="83">
        <v>7</v>
      </c>
      <c r="G75" s="52" t="s">
        <v>57</v>
      </c>
      <c r="H75" s="84">
        <f>17.42+1.67</f>
        <v>19.090000000000003</v>
      </c>
      <c r="I75" s="55">
        <f t="shared" si="0"/>
        <v>312.15968000000004</v>
      </c>
      <c r="J75" s="59"/>
      <c r="K75" s="4"/>
      <c r="L75" s="4"/>
      <c r="M75" s="4"/>
      <c r="N75" s="4"/>
      <c r="O75" s="4"/>
      <c r="P75" s="4"/>
      <c r="Q75" s="4"/>
      <c r="AK75" s="44">
        <f t="shared" si="3"/>
        <v>2.044</v>
      </c>
    </row>
    <row r="76" spans="2:37" ht="12.75" customHeight="1">
      <c r="B76" s="26">
        <f t="shared" si="4"/>
        <v>68</v>
      </c>
      <c r="C76" s="97" t="s">
        <v>399</v>
      </c>
      <c r="D76" s="81"/>
      <c r="E76" s="81">
        <f>+TRUNC(6.67/1+1.9)</f>
        <v>8</v>
      </c>
      <c r="F76" s="83">
        <v>6</v>
      </c>
      <c r="G76" s="52" t="s">
        <v>57</v>
      </c>
      <c r="H76" s="84">
        <f>20.083+2</f>
        <v>22.082999999999998</v>
      </c>
      <c r="I76" s="55">
        <f t="shared" si="0"/>
        <v>265.34932799999996</v>
      </c>
      <c r="J76" s="59"/>
      <c r="K76" s="4"/>
      <c r="L76" s="4"/>
      <c r="M76" s="4"/>
      <c r="N76" s="4"/>
      <c r="O76" s="4"/>
      <c r="P76" s="4"/>
      <c r="Q76" s="4"/>
      <c r="AK76" s="44">
        <f t="shared" si="3"/>
        <v>1.502</v>
      </c>
    </row>
    <row r="77" spans="2:37" ht="12.75" customHeight="1">
      <c r="B77" s="26">
        <f t="shared" si="4"/>
        <v>69</v>
      </c>
      <c r="C77" s="97" t="s">
        <v>399</v>
      </c>
      <c r="D77" s="81"/>
      <c r="E77" s="81">
        <f>+TRUNC(2.583/1+1.9)</f>
        <v>4</v>
      </c>
      <c r="F77" s="83">
        <v>6</v>
      </c>
      <c r="G77" s="52" t="s">
        <v>57</v>
      </c>
      <c r="H77" s="84">
        <v>7.33</v>
      </c>
      <c r="I77" s="55">
        <f t="shared" si="0"/>
        <v>44.038640000000001</v>
      </c>
      <c r="J77" s="59"/>
      <c r="K77" s="4"/>
      <c r="L77" s="4"/>
      <c r="M77" s="4"/>
      <c r="N77" s="4"/>
      <c r="O77" s="4"/>
      <c r="P77" s="4"/>
      <c r="Q77" s="4"/>
      <c r="AK77" s="44">
        <f t="shared" si="3"/>
        <v>1.502</v>
      </c>
    </row>
    <row r="78" spans="2:37" ht="12.75" customHeight="1">
      <c r="B78" s="26">
        <f t="shared" si="4"/>
        <v>70</v>
      </c>
      <c r="C78" s="97" t="s">
        <v>402</v>
      </c>
      <c r="D78" s="81"/>
      <c r="E78" s="81">
        <f>+TRUNC(10.75/0.83+1.9)</f>
        <v>14</v>
      </c>
      <c r="F78" s="83">
        <v>8</v>
      </c>
      <c r="G78" s="52" t="s">
        <v>57</v>
      </c>
      <c r="H78" s="84">
        <v>30.75</v>
      </c>
      <c r="I78" s="55">
        <f t="shared" si="0"/>
        <v>1149.4349999999999</v>
      </c>
      <c r="J78" s="59"/>
      <c r="K78" s="4"/>
      <c r="L78" s="4"/>
      <c r="M78" s="4"/>
      <c r="N78" s="4"/>
      <c r="O78" s="4"/>
      <c r="P78" s="4"/>
      <c r="Q78" s="4"/>
      <c r="AK78" s="44">
        <f t="shared" si="3"/>
        <v>2.67</v>
      </c>
    </row>
    <row r="79" spans="2:37" ht="12.75" customHeight="1">
      <c r="B79" s="26">
        <f t="shared" si="4"/>
        <v>71</v>
      </c>
      <c r="C79" s="97" t="s">
        <v>397</v>
      </c>
      <c r="D79" s="81"/>
      <c r="E79" s="81">
        <f>+TRUNC(10.75/1+1.9)</f>
        <v>12</v>
      </c>
      <c r="F79" s="83">
        <v>7</v>
      </c>
      <c r="G79" s="52" t="s">
        <v>57</v>
      </c>
      <c r="H79" s="84">
        <f>21.67+1.167</f>
        <v>22.837000000000003</v>
      </c>
      <c r="I79" s="55">
        <f t="shared" si="0"/>
        <v>560.14593600000012</v>
      </c>
      <c r="J79" s="59"/>
      <c r="K79" s="4"/>
      <c r="L79" s="4"/>
      <c r="M79" s="4"/>
      <c r="N79" s="4"/>
      <c r="O79" s="4"/>
      <c r="P79" s="4"/>
      <c r="Q79" s="4"/>
      <c r="AK79" s="44">
        <f t="shared" si="3"/>
        <v>2.044</v>
      </c>
    </row>
    <row r="80" spans="2:37" ht="12.75" customHeight="1">
      <c r="B80" s="26">
        <f t="shared" si="4"/>
        <v>72</v>
      </c>
      <c r="C80" s="97" t="s">
        <v>395</v>
      </c>
      <c r="D80" s="81"/>
      <c r="E80" s="81">
        <f>+TRUNC(10.75/1+1.9)</f>
        <v>12</v>
      </c>
      <c r="F80" s="83">
        <v>8</v>
      </c>
      <c r="G80" s="52" t="s">
        <v>57</v>
      </c>
      <c r="H80" s="84">
        <f>23.5+1.42</f>
        <v>24.92</v>
      </c>
      <c r="I80" s="55">
        <f t="shared" si="0"/>
        <v>798.43679999999995</v>
      </c>
      <c r="J80" s="59"/>
      <c r="K80" s="4"/>
      <c r="L80" s="4"/>
      <c r="M80" s="4"/>
      <c r="N80" s="4"/>
      <c r="O80" s="4"/>
      <c r="P80" s="4"/>
      <c r="Q80" s="4"/>
      <c r="AK80" s="44">
        <f t="shared" si="3"/>
        <v>2.67</v>
      </c>
    </row>
    <row r="81" spans="2:37" ht="12.75" customHeight="1">
      <c r="B81" s="26">
        <f t="shared" si="4"/>
        <v>73</v>
      </c>
      <c r="C81" s="97" t="s">
        <v>401</v>
      </c>
      <c r="D81" s="81"/>
      <c r="E81" s="81">
        <f>+TRUNC(10.92/0.83+1.9)</f>
        <v>15</v>
      </c>
      <c r="F81" s="83">
        <v>9</v>
      </c>
      <c r="G81" s="52" t="s">
        <v>57</v>
      </c>
      <c r="H81" s="84">
        <f>31.583+3.5</f>
        <v>35.082999999999998</v>
      </c>
      <c r="I81" s="55">
        <f t="shared" si="0"/>
        <v>1789.2329999999997</v>
      </c>
      <c r="J81" s="59"/>
      <c r="K81" s="4"/>
      <c r="M81" s="4"/>
      <c r="N81" s="4"/>
      <c r="O81" s="4"/>
      <c r="P81" s="4"/>
      <c r="Q81" s="4"/>
      <c r="AK81" s="44">
        <f t="shared" si="3"/>
        <v>3.4</v>
      </c>
    </row>
    <row r="82" spans="2:37" ht="12.75" customHeight="1">
      <c r="B82" s="26">
        <f t="shared" si="4"/>
        <v>74</v>
      </c>
      <c r="C82" s="97" t="s">
        <v>396</v>
      </c>
      <c r="D82" s="81"/>
      <c r="E82" s="81">
        <f>+TRUNC(11.167/0.83+1.9)</f>
        <v>15</v>
      </c>
      <c r="F82" s="83">
        <v>6</v>
      </c>
      <c r="G82" s="52" t="s">
        <v>57</v>
      </c>
      <c r="H82" s="84">
        <f>13.167+1-0.083</f>
        <v>14.084</v>
      </c>
      <c r="I82" s="55">
        <f t="shared" si="0"/>
        <v>317.31251999999995</v>
      </c>
      <c r="J82" s="59"/>
      <c r="K82" s="4"/>
      <c r="L82" s="4"/>
      <c r="M82" s="4"/>
      <c r="N82" s="4"/>
      <c r="O82" s="4"/>
      <c r="P82" s="4"/>
      <c r="Q82" s="4"/>
      <c r="AK82" s="44">
        <f t="shared" si="3"/>
        <v>1.502</v>
      </c>
    </row>
    <row r="83" spans="2:37" ht="12.75" customHeight="1">
      <c r="B83" s="26">
        <f t="shared" si="4"/>
        <v>75</v>
      </c>
      <c r="C83" s="97" t="s">
        <v>408</v>
      </c>
      <c r="D83" s="81"/>
      <c r="E83" s="81">
        <v>4</v>
      </c>
      <c r="F83" s="83">
        <v>9</v>
      </c>
      <c r="G83" s="52" t="s">
        <v>57</v>
      </c>
      <c r="H83" s="84">
        <v>11.167</v>
      </c>
      <c r="I83" s="55">
        <f t="shared" si="0"/>
        <v>151.87119999999999</v>
      </c>
      <c r="J83" s="59"/>
      <c r="K83" s="4"/>
      <c r="L83" s="4"/>
      <c r="M83" s="4"/>
      <c r="N83" s="4"/>
      <c r="O83" s="4"/>
      <c r="P83" s="4"/>
      <c r="Q83" s="4"/>
      <c r="AK83" s="44">
        <f t="shared" si="3"/>
        <v>3.4</v>
      </c>
    </row>
    <row r="84" spans="2:37" ht="12.75" customHeight="1">
      <c r="B84" s="26">
        <f t="shared" si="4"/>
        <v>76</v>
      </c>
      <c r="C84" s="97" t="s">
        <v>409</v>
      </c>
      <c r="D84" s="81"/>
      <c r="E84" s="81">
        <v>3</v>
      </c>
      <c r="F84" s="83">
        <v>8</v>
      </c>
      <c r="G84" s="52" t="s">
        <v>57</v>
      </c>
      <c r="H84" s="84">
        <v>23.582999999999998</v>
      </c>
      <c r="I84" s="55">
        <f t="shared" si="0"/>
        <v>188.89982999999998</v>
      </c>
      <c r="J84" s="59"/>
      <c r="L84" s="4"/>
      <c r="M84" s="4"/>
      <c r="N84" s="4"/>
      <c r="O84" s="4"/>
      <c r="P84" s="4"/>
      <c r="Q84" s="4"/>
      <c r="AK84" s="44">
        <f t="shared" si="3"/>
        <v>2.67</v>
      </c>
    </row>
    <row r="85" spans="2:37" ht="12.75" customHeight="1">
      <c r="B85" s="26">
        <f t="shared" si="4"/>
        <v>77</v>
      </c>
      <c r="C85" s="87" t="s">
        <v>282</v>
      </c>
      <c r="D85" s="81"/>
      <c r="E85" s="81"/>
      <c r="F85" s="83"/>
      <c r="G85" s="52"/>
      <c r="H85" s="84"/>
      <c r="I85" s="55">
        <f t="shared" si="0"/>
        <v>0</v>
      </c>
      <c r="J85" s="59"/>
      <c r="K85" s="4"/>
      <c r="L85" s="4"/>
      <c r="M85" s="4"/>
      <c r="N85" s="4"/>
      <c r="O85" s="4"/>
      <c r="P85" s="4"/>
      <c r="Q85" s="4"/>
      <c r="AK85" s="44">
        <f t="shared" si="3"/>
        <v>0</v>
      </c>
    </row>
    <row r="86" spans="2:37" ht="12.75" customHeight="1">
      <c r="B86" s="26">
        <f t="shared" si="4"/>
        <v>78</v>
      </c>
      <c r="C86" s="97" t="s">
        <v>410</v>
      </c>
      <c r="D86" s="81"/>
      <c r="E86" s="81">
        <f>+TRUNC(13.92/0.83+1.9)</f>
        <v>18</v>
      </c>
      <c r="F86" s="83">
        <v>5</v>
      </c>
      <c r="G86" s="52" t="s">
        <v>57</v>
      </c>
      <c r="H86" s="84">
        <f>17.92-0.083+0.5</f>
        <v>18.337000000000003</v>
      </c>
      <c r="I86" s="55">
        <f t="shared" si="0"/>
        <v>344.25883800000008</v>
      </c>
      <c r="J86" s="59"/>
      <c r="K86" s="4"/>
      <c r="L86" s="65"/>
      <c r="M86" s="4"/>
      <c r="N86" s="4"/>
      <c r="O86" s="4"/>
      <c r="P86" s="4"/>
      <c r="Q86" s="4"/>
      <c r="AK86" s="44">
        <f t="shared" si="3"/>
        <v>1.0429999999999999</v>
      </c>
    </row>
    <row r="87" spans="2:37" ht="12.75" customHeight="1">
      <c r="B87" s="26">
        <f t="shared" si="4"/>
        <v>79</v>
      </c>
      <c r="C87" s="97" t="s">
        <v>101</v>
      </c>
      <c r="D87" s="81"/>
      <c r="E87" s="81">
        <f>+TRUNC(13.92/1+1.9)</f>
        <v>15</v>
      </c>
      <c r="F87" s="83">
        <v>5</v>
      </c>
      <c r="G87" s="52" t="s">
        <v>57</v>
      </c>
      <c r="H87" s="84">
        <f>20.083+0.5*2</f>
        <v>21.082999999999998</v>
      </c>
      <c r="I87" s="55">
        <f t="shared" si="0"/>
        <v>329.84353499999992</v>
      </c>
      <c r="J87" s="59"/>
      <c r="K87" s="4"/>
      <c r="L87" s="4"/>
      <c r="M87" s="4"/>
      <c r="N87" s="4"/>
      <c r="O87" s="4"/>
      <c r="P87" s="4"/>
      <c r="Q87" s="4"/>
      <c r="AK87" s="44">
        <f t="shared" si="3"/>
        <v>1.0429999999999999</v>
      </c>
    </row>
    <row r="88" spans="2:37" ht="12.75" customHeight="1">
      <c r="B88" s="26">
        <f t="shared" si="4"/>
        <v>80</v>
      </c>
      <c r="C88" s="97" t="s">
        <v>407</v>
      </c>
      <c r="D88" s="81"/>
      <c r="E88" s="81">
        <f>+TRUNC(12.83/0.83+1.9)</f>
        <v>17</v>
      </c>
      <c r="F88" s="83">
        <v>7</v>
      </c>
      <c r="G88" s="52" t="s">
        <v>57</v>
      </c>
      <c r="H88" s="84">
        <f>30.167+0.5*2</f>
        <v>31.167000000000002</v>
      </c>
      <c r="I88" s="55">
        <f t="shared" si="0"/>
        <v>1082.9909160000002</v>
      </c>
      <c r="J88" s="59"/>
      <c r="K88" s="4"/>
      <c r="L88" s="4"/>
      <c r="M88" s="4"/>
      <c r="N88" s="4"/>
      <c r="O88" s="4"/>
      <c r="P88" s="4"/>
      <c r="Q88" s="4"/>
      <c r="AK88" s="44">
        <f t="shared" si="3"/>
        <v>2.044</v>
      </c>
    </row>
    <row r="89" spans="2:37" ht="12.75" customHeight="1">
      <c r="B89" s="26">
        <f t="shared" si="4"/>
        <v>81</v>
      </c>
      <c r="C89" s="97" t="s">
        <v>101</v>
      </c>
      <c r="D89" s="81"/>
      <c r="E89" s="81">
        <f>+TRUNC(11.67/1+1.9)</f>
        <v>13</v>
      </c>
      <c r="F89" s="83">
        <v>5</v>
      </c>
      <c r="G89" s="52" t="s">
        <v>57</v>
      </c>
      <c r="H89" s="84">
        <f>26+0.5*2</f>
        <v>27</v>
      </c>
      <c r="I89" s="55">
        <f t="shared" si="0"/>
        <v>366.09299999999996</v>
      </c>
      <c r="J89" s="59"/>
      <c r="K89" s="4"/>
      <c r="L89" s="4"/>
      <c r="M89" s="4"/>
      <c r="N89" s="4"/>
      <c r="O89" s="4"/>
      <c r="P89" s="4"/>
      <c r="Q89" s="4"/>
      <c r="AK89" s="44">
        <f t="shared" si="3"/>
        <v>1.0429999999999999</v>
      </c>
    </row>
    <row r="90" spans="2:37" ht="12.75" customHeight="1">
      <c r="B90" s="26">
        <f t="shared" si="4"/>
        <v>82</v>
      </c>
      <c r="C90" s="97" t="s">
        <v>101</v>
      </c>
      <c r="D90" s="81"/>
      <c r="E90" s="81">
        <f>+TRUNC(11.67/1+1.9)</f>
        <v>13</v>
      </c>
      <c r="F90" s="83">
        <v>5</v>
      </c>
      <c r="G90" s="52" t="s">
        <v>57</v>
      </c>
      <c r="H90" s="84">
        <f>22.5+0.5*2</f>
        <v>23.5</v>
      </c>
      <c r="I90" s="55">
        <f t="shared" si="0"/>
        <v>318.63649999999996</v>
      </c>
      <c r="J90" s="59"/>
      <c r="K90" s="4"/>
      <c r="L90" s="4"/>
      <c r="M90" s="4"/>
      <c r="N90" s="4"/>
      <c r="O90" s="4"/>
      <c r="P90" s="4"/>
      <c r="Q90" s="4"/>
      <c r="AK90" s="44">
        <f t="shared" si="3"/>
        <v>1.0429999999999999</v>
      </c>
    </row>
    <row r="91" spans="2:37" ht="12.75" customHeight="1">
      <c r="B91" s="26">
        <f t="shared" si="4"/>
        <v>83</v>
      </c>
      <c r="C91" s="97" t="s">
        <v>397</v>
      </c>
      <c r="D91" s="81"/>
      <c r="E91" s="81">
        <f>+TRUNC(11.67/1+1.9)</f>
        <v>13</v>
      </c>
      <c r="F91" s="83">
        <v>7</v>
      </c>
      <c r="G91" s="52" t="s">
        <v>57</v>
      </c>
      <c r="H91" s="84">
        <f>31.583+2.33</f>
        <v>33.912999999999997</v>
      </c>
      <c r="I91" s="55">
        <f t="shared" si="0"/>
        <v>901.13623599999983</v>
      </c>
      <c r="J91" s="59"/>
      <c r="K91" s="4"/>
      <c r="M91" s="4"/>
      <c r="N91" s="4"/>
      <c r="O91" s="4"/>
      <c r="P91" s="4"/>
      <c r="Q91" s="4"/>
      <c r="AK91" s="44">
        <f t="shared" si="3"/>
        <v>2.044</v>
      </c>
    </row>
    <row r="92" spans="2:37" ht="12.75" customHeight="1">
      <c r="B92" s="26">
        <f t="shared" si="4"/>
        <v>84</v>
      </c>
      <c r="C92" s="97" t="s">
        <v>101</v>
      </c>
      <c r="D92" s="81"/>
      <c r="E92" s="81">
        <f>+TRUNC(11.67/1+1.9)</f>
        <v>13</v>
      </c>
      <c r="F92" s="83">
        <v>5</v>
      </c>
      <c r="G92" s="52" t="s">
        <v>57</v>
      </c>
      <c r="H92" s="84">
        <f>12.75+0.92-0.083</f>
        <v>13.587</v>
      </c>
      <c r="I92" s="55">
        <f t="shared" si="0"/>
        <v>184.22613299999998</v>
      </c>
      <c r="J92" s="59"/>
      <c r="K92" s="4"/>
      <c r="M92" s="4"/>
      <c r="N92" s="4"/>
      <c r="O92" s="4"/>
      <c r="P92" s="4"/>
      <c r="Q92" s="4"/>
      <c r="AK92" s="44">
        <f t="shared" si="3"/>
        <v>1.0429999999999999</v>
      </c>
    </row>
    <row r="93" spans="2:37" ht="12.75" customHeight="1">
      <c r="B93" s="26">
        <f t="shared" si="4"/>
        <v>85</v>
      </c>
      <c r="C93" s="87" t="s">
        <v>411</v>
      </c>
      <c r="D93" s="81"/>
      <c r="E93" s="81"/>
      <c r="F93" s="83"/>
      <c r="G93" s="52"/>
      <c r="H93" s="84"/>
      <c r="I93" s="55">
        <f t="shared" si="0"/>
        <v>0</v>
      </c>
      <c r="J93" s="59"/>
      <c r="L93" s="4"/>
      <c r="M93" s="4"/>
      <c r="N93" s="4"/>
      <c r="O93" s="4"/>
      <c r="P93" s="4"/>
      <c r="Q93" s="4"/>
      <c r="AK93" s="44">
        <f t="shared" si="3"/>
        <v>0</v>
      </c>
    </row>
    <row r="94" spans="2:37" ht="12.75" customHeight="1">
      <c r="B94" s="26">
        <f t="shared" si="4"/>
        <v>86</v>
      </c>
      <c r="C94" s="97" t="s">
        <v>397</v>
      </c>
      <c r="D94" s="81"/>
      <c r="E94" s="81">
        <f>+TRUNC(6.92/1+1.9)</f>
        <v>8</v>
      </c>
      <c r="F94" s="83">
        <v>7</v>
      </c>
      <c r="G94" s="52" t="s">
        <v>57</v>
      </c>
      <c r="H94" s="84">
        <f>18.33+1.167-0.083</f>
        <v>19.414000000000001</v>
      </c>
      <c r="I94" s="55">
        <f t="shared" si="0"/>
        <v>317.45772800000003</v>
      </c>
      <c r="J94" s="59"/>
      <c r="K94" s="4"/>
      <c r="L94" s="4"/>
      <c r="M94" s="4"/>
      <c r="N94" s="4"/>
      <c r="O94" s="4"/>
      <c r="P94" s="4"/>
      <c r="Q94" s="4"/>
      <c r="AK94" s="44">
        <f t="shared" si="3"/>
        <v>2.044</v>
      </c>
    </row>
    <row r="95" spans="2:37" ht="12.75" customHeight="1">
      <c r="B95" s="26">
        <f t="shared" si="4"/>
        <v>87</v>
      </c>
      <c r="C95" s="97" t="s">
        <v>410</v>
      </c>
      <c r="D95" s="81"/>
      <c r="E95" s="81">
        <f>+TRUNC(6.92/0.83+1.9)</f>
        <v>10</v>
      </c>
      <c r="F95" s="83">
        <v>5</v>
      </c>
      <c r="G95" s="52" t="s">
        <v>57</v>
      </c>
      <c r="H95" s="84">
        <f>20.083+2.33</f>
        <v>22.412999999999997</v>
      </c>
      <c r="I95" s="55">
        <f t="shared" si="0"/>
        <v>233.76758999999996</v>
      </c>
      <c r="J95" s="59"/>
      <c r="L95" s="4"/>
      <c r="M95" s="4"/>
      <c r="N95" s="4"/>
      <c r="O95" s="4"/>
      <c r="P95" s="4"/>
      <c r="Q95" s="4"/>
      <c r="AK95" s="44">
        <f t="shared" si="3"/>
        <v>1.0429999999999999</v>
      </c>
    </row>
    <row r="96" spans="2:37" ht="12.75" customHeight="1">
      <c r="B96" s="26">
        <f t="shared" si="4"/>
        <v>88</v>
      </c>
      <c r="C96" s="97" t="s">
        <v>402</v>
      </c>
      <c r="D96" s="81"/>
      <c r="E96" s="81">
        <f>+TRUNC(6.42/0.83+1.9)</f>
        <v>9</v>
      </c>
      <c r="F96" s="83">
        <v>8</v>
      </c>
      <c r="G96" s="52" t="s">
        <v>57</v>
      </c>
      <c r="H96" s="84">
        <f>30.167+2.83</f>
        <v>32.997</v>
      </c>
      <c r="I96" s="55">
        <f>IF(D96="",AK96*H96*E96,AK96*H96*E96*D96)</f>
        <v>792.91791000000001</v>
      </c>
      <c r="J96" s="59"/>
      <c r="K96" s="4"/>
      <c r="L96" s="4"/>
      <c r="M96" s="4"/>
      <c r="N96" s="4"/>
      <c r="O96" s="4"/>
      <c r="P96" s="4"/>
      <c r="Q96" s="4"/>
      <c r="AK96" s="44">
        <f t="shared" si="3"/>
        <v>2.67</v>
      </c>
    </row>
    <row r="97" spans="2:37" ht="12.75" customHeight="1">
      <c r="B97" s="26">
        <f t="shared" si="4"/>
        <v>89</v>
      </c>
      <c r="C97" s="97" t="s">
        <v>399</v>
      </c>
      <c r="D97" s="81"/>
      <c r="E97" s="81">
        <f>+TRUNC(5.83/1+1.9)</f>
        <v>7</v>
      </c>
      <c r="F97" s="83">
        <v>6</v>
      </c>
      <c r="G97" s="52" t="s">
        <v>57</v>
      </c>
      <c r="H97" s="84">
        <f>26+2</f>
        <v>28</v>
      </c>
      <c r="I97" s="55">
        <f t="shared" si="0"/>
        <v>294.392</v>
      </c>
      <c r="J97" s="59"/>
      <c r="K97" s="4"/>
      <c r="L97" s="4"/>
      <c r="M97" s="4"/>
      <c r="N97" s="4"/>
      <c r="O97" s="4"/>
      <c r="P97" s="4"/>
      <c r="Q97" s="4"/>
      <c r="AK97" s="44">
        <f t="shared" si="3"/>
        <v>1.502</v>
      </c>
    </row>
    <row r="98" spans="2:37" ht="12.75" customHeight="1">
      <c r="B98" s="26">
        <f t="shared" si="4"/>
        <v>90</v>
      </c>
      <c r="C98" s="97" t="s">
        <v>101</v>
      </c>
      <c r="D98" s="81"/>
      <c r="E98" s="81">
        <f>+TRUNC(5.83/1+1.9)</f>
        <v>7</v>
      </c>
      <c r="F98" s="83">
        <v>5</v>
      </c>
      <c r="G98" s="52" t="s">
        <v>57</v>
      </c>
      <c r="H98" s="84">
        <f>22.42+1.83</f>
        <v>24.25</v>
      </c>
      <c r="I98" s="55">
        <f t="shared" si="0"/>
        <v>177.04924999999997</v>
      </c>
      <c r="J98" s="59"/>
      <c r="K98" s="4"/>
      <c r="L98" s="4"/>
      <c r="M98" s="4"/>
      <c r="N98" s="4"/>
      <c r="O98" s="4"/>
      <c r="P98" s="4"/>
      <c r="Q98" s="4"/>
      <c r="AK98" s="44">
        <f t="shared" si="3"/>
        <v>1.0429999999999999</v>
      </c>
    </row>
    <row r="99" spans="2:37" ht="12.75" customHeight="1">
      <c r="B99" s="26">
        <f t="shared" si="4"/>
        <v>91</v>
      </c>
      <c r="C99" s="97" t="s">
        <v>101</v>
      </c>
      <c r="D99" s="81"/>
      <c r="E99" s="81">
        <f>+TRUNC(5.83/1+1.9)</f>
        <v>7</v>
      </c>
      <c r="F99" s="83">
        <v>5</v>
      </c>
      <c r="G99" s="52" t="s">
        <v>57</v>
      </c>
      <c r="H99" s="84">
        <f>31.583+1.83</f>
        <v>33.412999999999997</v>
      </c>
      <c r="I99" s="55">
        <f t="shared" si="0"/>
        <v>243.94831299999993</v>
      </c>
      <c r="J99" s="59"/>
      <c r="K99" s="4"/>
      <c r="L99" s="4"/>
      <c r="M99" s="4"/>
      <c r="N99" s="4"/>
      <c r="O99" s="4"/>
      <c r="P99" s="4"/>
      <c r="Q99" s="4"/>
      <c r="AK99" s="44">
        <f t="shared" si="3"/>
        <v>1.0429999999999999</v>
      </c>
    </row>
    <row r="100" spans="2:37" ht="12.75" customHeight="1">
      <c r="B100" s="26">
        <f t="shared" si="4"/>
        <v>92</v>
      </c>
      <c r="C100" s="97" t="s">
        <v>399</v>
      </c>
      <c r="D100" s="81"/>
      <c r="E100" s="81">
        <f>+TRUNC(5.83/1+1.9)</f>
        <v>7</v>
      </c>
      <c r="F100" s="83">
        <v>6</v>
      </c>
      <c r="G100" s="52" t="s">
        <v>57</v>
      </c>
      <c r="H100" s="84">
        <f>12.25-0.083+1</f>
        <v>13.167</v>
      </c>
      <c r="I100" s="55">
        <f t="shared" si="0"/>
        <v>138.437838</v>
      </c>
      <c r="J100" s="59"/>
      <c r="K100" s="4"/>
      <c r="L100" s="4"/>
      <c r="M100" s="4"/>
      <c r="N100" s="4"/>
      <c r="O100" s="4"/>
      <c r="P100" s="4"/>
      <c r="Q100" s="4"/>
      <c r="AK100" s="44">
        <f t="shared" si="3"/>
        <v>1.502</v>
      </c>
    </row>
    <row r="101" spans="2:37" ht="12.75" customHeight="1">
      <c r="B101" s="26">
        <f t="shared" si="4"/>
        <v>93</v>
      </c>
      <c r="C101" s="87" t="s">
        <v>412</v>
      </c>
      <c r="D101" s="81"/>
      <c r="E101" s="81"/>
      <c r="F101" s="83"/>
      <c r="G101" s="52"/>
      <c r="H101" s="84"/>
      <c r="I101" s="55">
        <f t="shared" si="0"/>
        <v>0</v>
      </c>
      <c r="J101" s="59"/>
      <c r="K101" s="4"/>
      <c r="L101" s="4"/>
      <c r="M101" s="4"/>
      <c r="N101" s="4"/>
      <c r="O101" s="4"/>
      <c r="P101" s="4"/>
      <c r="Q101" s="4"/>
      <c r="AK101" s="44">
        <f t="shared" si="3"/>
        <v>0</v>
      </c>
    </row>
    <row r="102" spans="2:37" ht="12.75" customHeight="1">
      <c r="B102" s="26">
        <f t="shared" si="4"/>
        <v>94</v>
      </c>
      <c r="C102" s="87" t="s">
        <v>393</v>
      </c>
      <c r="D102" s="81"/>
      <c r="E102" s="81"/>
      <c r="F102" s="83"/>
      <c r="G102" s="52"/>
      <c r="H102" s="84"/>
      <c r="I102" s="55">
        <f t="shared" ref="I102:I206" si="5">IF(D102="",AK102*H102*E102,AK102*H102*E102*D102)</f>
        <v>0</v>
      </c>
      <c r="J102" s="59"/>
      <c r="K102" s="4"/>
      <c r="M102" s="4"/>
      <c r="N102" s="4"/>
      <c r="O102" s="4"/>
      <c r="P102" s="4"/>
      <c r="Q102" s="4"/>
      <c r="AK102" s="44">
        <f t="shared" si="3"/>
        <v>0</v>
      </c>
    </row>
    <row r="103" spans="2:37" ht="12.75" customHeight="1">
      <c r="B103" s="26">
        <f t="shared" si="4"/>
        <v>95</v>
      </c>
      <c r="C103" s="97" t="s">
        <v>413</v>
      </c>
      <c r="D103" s="81"/>
      <c r="E103" s="81">
        <f>+TRUNC(3.421/1+1.9)</f>
        <v>5</v>
      </c>
      <c r="F103" s="83">
        <v>5</v>
      </c>
      <c r="G103" s="52" t="s">
        <v>57</v>
      </c>
      <c r="H103" s="84">
        <f>0.35*26.083</f>
        <v>9.1290499999999994</v>
      </c>
      <c r="I103" s="55">
        <f t="shared" si="5"/>
        <v>47.607995749999994</v>
      </c>
      <c r="J103" s="59"/>
      <c r="K103" s="4"/>
      <c r="L103" s="4"/>
      <c r="M103" s="4"/>
      <c r="N103" s="4"/>
      <c r="O103" s="4"/>
      <c r="P103" s="4"/>
      <c r="Q103" s="4"/>
      <c r="AK103" s="44">
        <f t="shared" si="3"/>
        <v>1.0429999999999999</v>
      </c>
    </row>
    <row r="104" spans="2:37" ht="12.75" customHeight="1">
      <c r="B104" s="26">
        <f t="shared" si="4"/>
        <v>96</v>
      </c>
      <c r="C104" s="97" t="s">
        <v>414</v>
      </c>
      <c r="D104" s="81"/>
      <c r="E104" s="81">
        <f t="shared" ref="E104" si="6">+TRUNC(3.421/1+1.9)</f>
        <v>5</v>
      </c>
      <c r="F104" s="83">
        <v>7</v>
      </c>
      <c r="G104" s="52" t="s">
        <v>57</v>
      </c>
      <c r="H104" s="84">
        <f>0.35*26.083*2</f>
        <v>18.258099999999999</v>
      </c>
      <c r="I104" s="55">
        <f t="shared" si="5"/>
        <v>186.597782</v>
      </c>
      <c r="J104" s="59"/>
      <c r="K104" s="4"/>
      <c r="L104" s="4"/>
      <c r="M104" s="4"/>
      <c r="N104" s="4"/>
      <c r="O104" s="4"/>
      <c r="P104" s="4"/>
      <c r="Q104" s="4"/>
      <c r="AK104" s="44">
        <f t="shared" si="3"/>
        <v>2.044</v>
      </c>
    </row>
    <row r="105" spans="2:37" ht="12.75" customHeight="1">
      <c r="B105" s="26">
        <f t="shared" si="4"/>
        <v>97</v>
      </c>
      <c r="C105" s="97" t="s">
        <v>414</v>
      </c>
      <c r="D105" s="81"/>
      <c r="E105" s="81">
        <f>+TRUNC(3.92/1+1.9)</f>
        <v>5</v>
      </c>
      <c r="F105" s="83">
        <v>7</v>
      </c>
      <c r="G105" s="52" t="s">
        <v>57</v>
      </c>
      <c r="H105" s="84">
        <f>0.35*29.083*2</f>
        <v>20.358099999999997</v>
      </c>
      <c r="I105" s="55">
        <f t="shared" si="5"/>
        <v>208.05978199999998</v>
      </c>
      <c r="J105" s="59"/>
      <c r="L105" s="4"/>
      <c r="M105" s="4"/>
      <c r="N105" s="4"/>
      <c r="O105" s="4"/>
      <c r="P105" s="4"/>
      <c r="Q105" s="4"/>
      <c r="AK105" s="44">
        <f t="shared" si="3"/>
        <v>2.044</v>
      </c>
    </row>
    <row r="106" spans="2:37" ht="12.75" customHeight="1">
      <c r="B106" s="26">
        <f t="shared" si="4"/>
        <v>98</v>
      </c>
      <c r="C106" s="97" t="s">
        <v>415</v>
      </c>
      <c r="D106" s="81"/>
      <c r="E106" s="81">
        <f>+TRUNC(4.5/1+1.9)</f>
        <v>6</v>
      </c>
      <c r="F106" s="83">
        <v>7</v>
      </c>
      <c r="G106" s="52" t="s">
        <v>57</v>
      </c>
      <c r="H106" s="84">
        <f>0.35*29.083*2</f>
        <v>20.358099999999997</v>
      </c>
      <c r="I106" s="55">
        <f t="shared" si="5"/>
        <v>249.67173839999998</v>
      </c>
      <c r="J106" s="59"/>
      <c r="K106" s="4"/>
      <c r="L106" s="4"/>
      <c r="M106" s="4"/>
      <c r="N106" s="4"/>
      <c r="O106" s="4"/>
      <c r="P106" s="4"/>
      <c r="Q106" s="4"/>
      <c r="AK106" s="44">
        <f t="shared" si="3"/>
        <v>2.044</v>
      </c>
    </row>
    <row r="107" spans="2:37" ht="12.75" customHeight="1">
      <c r="B107" s="26">
        <f t="shared" si="4"/>
        <v>99</v>
      </c>
      <c r="C107" s="97" t="s">
        <v>416</v>
      </c>
      <c r="D107" s="81"/>
      <c r="E107" s="81">
        <f>+TRUNC(4.5/1+1.9)</f>
        <v>6</v>
      </c>
      <c r="F107" s="83">
        <v>6</v>
      </c>
      <c r="G107" s="52" t="s">
        <v>57</v>
      </c>
      <c r="H107" s="84">
        <f>0.35*29.083*2</f>
        <v>20.358099999999997</v>
      </c>
      <c r="I107" s="55">
        <f t="shared" si="5"/>
        <v>183.46719719999999</v>
      </c>
      <c r="J107" s="59"/>
      <c r="K107" s="4"/>
      <c r="L107" s="4"/>
      <c r="M107" s="4"/>
      <c r="N107" s="4"/>
      <c r="O107" s="4"/>
      <c r="P107" s="4"/>
      <c r="Q107" s="4"/>
      <c r="AK107" s="44">
        <f t="shared" si="3"/>
        <v>1.502</v>
      </c>
    </row>
    <row r="108" spans="2:37" ht="12.75" customHeight="1">
      <c r="B108" s="26">
        <f t="shared" si="4"/>
        <v>100</v>
      </c>
      <c r="C108" s="97" t="s">
        <v>417</v>
      </c>
      <c r="D108" s="81"/>
      <c r="E108" s="81">
        <f>+TRUNC(4.5/0.5+1.9)</f>
        <v>10</v>
      </c>
      <c r="F108" s="83">
        <v>9</v>
      </c>
      <c r="G108" s="52" t="s">
        <v>57</v>
      </c>
      <c r="H108" s="84">
        <f>29.25*2*0.35</f>
        <v>20.474999999999998</v>
      </c>
      <c r="I108" s="55">
        <f t="shared" si="5"/>
        <v>696.15</v>
      </c>
      <c r="J108" s="59"/>
      <c r="L108" s="4"/>
      <c r="M108" s="4"/>
      <c r="N108" s="4"/>
      <c r="O108" s="4"/>
      <c r="P108" s="4"/>
      <c r="Q108" s="4"/>
      <c r="AK108" s="44">
        <f t="shared" si="3"/>
        <v>3.4</v>
      </c>
    </row>
    <row r="109" spans="2:37" ht="12.75" customHeight="1">
      <c r="B109" s="26">
        <f t="shared" si="4"/>
        <v>101</v>
      </c>
      <c r="C109" s="97" t="s">
        <v>416</v>
      </c>
      <c r="D109" s="81"/>
      <c r="E109" s="81">
        <f>+TRUNC(4.5/1+1.9)</f>
        <v>6</v>
      </c>
      <c r="F109" s="83">
        <v>6</v>
      </c>
      <c r="G109" s="52" t="s">
        <v>57</v>
      </c>
      <c r="H109" s="84">
        <f>28.92*0.35</f>
        <v>10.122</v>
      </c>
      <c r="I109" s="55">
        <f t="shared" si="5"/>
        <v>91.219464000000002</v>
      </c>
      <c r="J109" s="59"/>
      <c r="L109" s="4"/>
      <c r="M109" s="4"/>
      <c r="N109" s="4"/>
      <c r="O109" s="4"/>
      <c r="P109" s="4"/>
      <c r="Q109" s="4"/>
      <c r="AK109" s="44">
        <f t="shared" si="3"/>
        <v>1.502</v>
      </c>
    </row>
    <row r="110" spans="2:37" ht="12.75" customHeight="1">
      <c r="B110" s="26">
        <f t="shared" si="4"/>
        <v>102</v>
      </c>
      <c r="C110" s="87" t="s">
        <v>282</v>
      </c>
      <c r="D110" s="81"/>
      <c r="E110" s="81"/>
      <c r="F110" s="83"/>
      <c r="G110" s="52"/>
      <c r="H110" s="84"/>
      <c r="I110" s="55">
        <f t="shared" si="5"/>
        <v>0</v>
      </c>
      <c r="J110" s="59"/>
      <c r="K110" s="4"/>
      <c r="L110" s="4"/>
      <c r="M110" s="4"/>
      <c r="N110" s="4"/>
      <c r="O110" s="4"/>
      <c r="P110" s="4"/>
      <c r="Q110" s="4"/>
      <c r="AK110" s="44">
        <f t="shared" si="3"/>
        <v>0</v>
      </c>
    </row>
    <row r="111" spans="2:37" ht="12.75" customHeight="1">
      <c r="B111" s="26">
        <f t="shared" si="4"/>
        <v>103</v>
      </c>
      <c r="C111" s="97" t="s">
        <v>413</v>
      </c>
      <c r="D111" s="81"/>
      <c r="E111" s="81">
        <f>+TRUNC(6.5/1+1.9)</f>
        <v>8</v>
      </c>
      <c r="F111" s="83">
        <v>5</v>
      </c>
      <c r="G111" s="52" t="s">
        <v>57</v>
      </c>
      <c r="H111" s="84">
        <f>0.25*26</f>
        <v>6.5</v>
      </c>
      <c r="I111" s="55">
        <f t="shared" si="5"/>
        <v>54.235999999999997</v>
      </c>
      <c r="J111" s="59"/>
      <c r="K111" s="4"/>
      <c r="L111" s="4"/>
      <c r="M111" s="4"/>
      <c r="N111" s="4"/>
      <c r="O111" s="4"/>
      <c r="P111" s="4"/>
      <c r="Q111" s="4"/>
      <c r="AK111" s="44">
        <f t="shared" si="3"/>
        <v>1.0429999999999999</v>
      </c>
    </row>
    <row r="112" spans="2:37" ht="12.75" customHeight="1">
      <c r="B112" s="26">
        <f t="shared" si="4"/>
        <v>104</v>
      </c>
      <c r="C112" s="97" t="s">
        <v>414</v>
      </c>
      <c r="D112" s="81"/>
      <c r="E112" s="81">
        <f>+TRUNC(7.75/1+1.9)</f>
        <v>9</v>
      </c>
      <c r="F112" s="83">
        <v>7</v>
      </c>
      <c r="G112" s="52" t="s">
        <v>57</v>
      </c>
      <c r="H112" s="84">
        <f>0.25*26*2</f>
        <v>13</v>
      </c>
      <c r="I112" s="55">
        <f t="shared" si="5"/>
        <v>239.148</v>
      </c>
      <c r="J112" s="59"/>
      <c r="K112" s="4"/>
      <c r="L112" s="4"/>
      <c r="M112" s="4"/>
      <c r="N112" s="4"/>
      <c r="O112" s="4"/>
      <c r="P112" s="4"/>
      <c r="Q112" s="4"/>
      <c r="AK112" s="44">
        <f t="shared" si="3"/>
        <v>2.044</v>
      </c>
    </row>
    <row r="113" spans="2:37" ht="12.75" customHeight="1">
      <c r="B113" s="26">
        <f t="shared" si="4"/>
        <v>105</v>
      </c>
      <c r="C113" s="97" t="s">
        <v>414</v>
      </c>
      <c r="D113" s="81"/>
      <c r="E113" s="81">
        <f>+TRUNC(8.92/1+1.9)</f>
        <v>10</v>
      </c>
      <c r="F113" s="83">
        <v>7</v>
      </c>
      <c r="G113" s="52" t="s">
        <v>57</v>
      </c>
      <c r="H113" s="84">
        <f>0.25*29.083*2</f>
        <v>14.541499999999999</v>
      </c>
      <c r="I113" s="55">
        <f t="shared" si="5"/>
        <v>297.22825999999998</v>
      </c>
      <c r="J113" s="59"/>
      <c r="K113" s="4"/>
      <c r="L113" s="4"/>
      <c r="M113" s="4"/>
      <c r="N113" s="4"/>
      <c r="O113" s="4"/>
      <c r="P113" s="4"/>
      <c r="Q113" s="4"/>
      <c r="AK113" s="44">
        <f t="shared" si="3"/>
        <v>2.044</v>
      </c>
    </row>
    <row r="114" spans="2:37" ht="12.75" customHeight="1">
      <c r="B114" s="26">
        <f t="shared" si="4"/>
        <v>106</v>
      </c>
      <c r="C114" s="97" t="s">
        <v>414</v>
      </c>
      <c r="D114" s="81"/>
      <c r="E114" s="81">
        <f>+TRUNC(8.92/1+1.9)</f>
        <v>10</v>
      </c>
      <c r="F114" s="83">
        <v>7</v>
      </c>
      <c r="G114" s="52" t="s">
        <v>57</v>
      </c>
      <c r="H114" s="84">
        <f>0.25*29.083*2</f>
        <v>14.541499999999999</v>
      </c>
      <c r="I114" s="55">
        <f t="shared" si="5"/>
        <v>297.22825999999998</v>
      </c>
      <c r="J114" s="59"/>
      <c r="K114" s="4"/>
      <c r="L114" s="4"/>
      <c r="M114" s="4"/>
      <c r="N114" s="4"/>
      <c r="O114" s="4"/>
      <c r="P114" s="4"/>
      <c r="Q114" s="4"/>
      <c r="AK114" s="44">
        <f t="shared" si="3"/>
        <v>2.044</v>
      </c>
    </row>
    <row r="115" spans="2:37" ht="12.75" customHeight="1">
      <c r="B115" s="26">
        <f t="shared" si="4"/>
        <v>107</v>
      </c>
      <c r="C115" s="97" t="s">
        <v>418</v>
      </c>
      <c r="D115" s="81"/>
      <c r="E115" s="81">
        <f>+TRUNC(8.92/0.83+1.9)</f>
        <v>12</v>
      </c>
      <c r="F115" s="83">
        <v>6</v>
      </c>
      <c r="G115" s="52" t="s">
        <v>57</v>
      </c>
      <c r="H115" s="84">
        <f>0.25*28.25*2</f>
        <v>14.125</v>
      </c>
      <c r="I115" s="55">
        <f t="shared" si="5"/>
        <v>254.589</v>
      </c>
      <c r="J115" s="59"/>
      <c r="K115" s="4"/>
      <c r="L115" s="4"/>
      <c r="M115" s="4"/>
      <c r="N115" s="4"/>
      <c r="O115" s="4"/>
      <c r="P115" s="4"/>
      <c r="Q115" s="4"/>
      <c r="AK115" s="44">
        <f t="shared" si="3"/>
        <v>1.502</v>
      </c>
    </row>
    <row r="116" spans="2:37" ht="12.75" customHeight="1">
      <c r="B116" s="26">
        <f t="shared" si="4"/>
        <v>108</v>
      </c>
      <c r="C116" s="97" t="s">
        <v>419</v>
      </c>
      <c r="D116" s="81"/>
      <c r="E116" s="81">
        <f>+TRUNC(8.92/0.83+1.9)</f>
        <v>12</v>
      </c>
      <c r="F116" s="83">
        <v>8</v>
      </c>
      <c r="G116" s="52" t="s">
        <v>57</v>
      </c>
      <c r="H116" s="84">
        <f>0.25*28.92*2</f>
        <v>14.46</v>
      </c>
      <c r="I116" s="55">
        <f t="shared" si="5"/>
        <v>463.29840000000002</v>
      </c>
      <c r="J116" s="59"/>
      <c r="K116" s="4"/>
      <c r="M116" s="4"/>
      <c r="N116" s="4"/>
      <c r="O116" s="4"/>
      <c r="P116" s="4"/>
      <c r="Q116" s="4"/>
      <c r="AK116" s="44">
        <f t="shared" si="3"/>
        <v>2.67</v>
      </c>
    </row>
    <row r="117" spans="2:37" ht="12.75" customHeight="1">
      <c r="B117" s="26">
        <f t="shared" si="4"/>
        <v>109</v>
      </c>
      <c r="C117" s="97" t="s">
        <v>420</v>
      </c>
      <c r="D117" s="81"/>
      <c r="E117" s="81">
        <f>+TRUNC(8.92/1+1.9)</f>
        <v>10</v>
      </c>
      <c r="F117" s="83">
        <v>5</v>
      </c>
      <c r="G117" s="52" t="s">
        <v>57</v>
      </c>
      <c r="H117" s="84">
        <f>0.25*28.92*2</f>
        <v>14.46</v>
      </c>
      <c r="I117" s="55">
        <f t="shared" si="5"/>
        <v>150.81780000000001</v>
      </c>
      <c r="J117" s="59"/>
      <c r="K117" s="4"/>
      <c r="L117" s="4"/>
      <c r="M117" s="4"/>
      <c r="N117" s="4"/>
      <c r="O117" s="4"/>
      <c r="P117" s="4"/>
      <c r="Q117" s="4"/>
      <c r="AK117" s="44">
        <f t="shared" si="3"/>
        <v>1.0429999999999999</v>
      </c>
    </row>
    <row r="118" spans="2:37" ht="12.75" customHeight="1">
      <c r="B118" s="26">
        <f t="shared" si="4"/>
        <v>110</v>
      </c>
      <c r="C118" s="87" t="s">
        <v>400</v>
      </c>
      <c r="D118" s="81"/>
      <c r="E118" s="81"/>
      <c r="F118" s="83"/>
      <c r="G118" s="52"/>
      <c r="H118" s="84"/>
      <c r="I118" s="55">
        <f t="shared" si="5"/>
        <v>0</v>
      </c>
      <c r="J118" s="59"/>
      <c r="K118" s="4"/>
      <c r="L118" s="4"/>
      <c r="M118" s="4"/>
      <c r="N118" s="4"/>
      <c r="O118" s="4"/>
      <c r="P118" s="4"/>
      <c r="Q118" s="4"/>
      <c r="AK118" s="44">
        <f t="shared" si="3"/>
        <v>0</v>
      </c>
    </row>
    <row r="119" spans="2:37" ht="12.75" customHeight="1">
      <c r="B119" s="26">
        <f t="shared" si="4"/>
        <v>111</v>
      </c>
      <c r="C119" s="97" t="s">
        <v>413</v>
      </c>
      <c r="D119" s="81"/>
      <c r="E119" s="81">
        <f>+TRUNC(10.83/1+1.9)</f>
        <v>12</v>
      </c>
      <c r="F119" s="83">
        <v>5</v>
      </c>
      <c r="G119" s="52" t="s">
        <v>57</v>
      </c>
      <c r="H119" s="84">
        <f>0.35*26.75-0.083</f>
        <v>9.2794999999999987</v>
      </c>
      <c r="I119" s="55">
        <f t="shared" si="5"/>
        <v>116.14222199999998</v>
      </c>
      <c r="J119" s="59"/>
      <c r="L119" s="4"/>
      <c r="M119" s="4"/>
      <c r="N119" s="4"/>
      <c r="O119" s="4"/>
      <c r="P119" s="4"/>
      <c r="Q119" s="4"/>
      <c r="AK119" s="44">
        <f t="shared" si="3"/>
        <v>1.0429999999999999</v>
      </c>
    </row>
    <row r="120" spans="2:37" ht="12.75" customHeight="1">
      <c r="B120" s="26">
        <f t="shared" si="4"/>
        <v>112</v>
      </c>
      <c r="C120" s="97" t="s">
        <v>421</v>
      </c>
      <c r="D120" s="81"/>
      <c r="E120" s="81">
        <f>+TRUNC(10.75/0.5+1.9)</f>
        <v>23</v>
      </c>
      <c r="F120" s="83">
        <v>10</v>
      </c>
      <c r="G120" s="52" t="s">
        <v>57</v>
      </c>
      <c r="H120" s="84">
        <v>31.92</v>
      </c>
      <c r="I120" s="55">
        <f t="shared" si="5"/>
        <v>3159.0904800000003</v>
      </c>
      <c r="J120" s="59"/>
      <c r="K120" s="4"/>
      <c r="L120" s="4"/>
      <c r="M120" s="4"/>
      <c r="N120" s="4"/>
      <c r="O120" s="4"/>
      <c r="P120" s="4"/>
      <c r="Q120" s="4"/>
      <c r="AK120" s="44">
        <f t="shared" si="3"/>
        <v>4.3029999999999999</v>
      </c>
    </row>
    <row r="121" spans="2:37" ht="12.75" customHeight="1">
      <c r="B121" s="26">
        <f t="shared" si="4"/>
        <v>113</v>
      </c>
      <c r="C121" s="97" t="s">
        <v>422</v>
      </c>
      <c r="D121" s="81"/>
      <c r="E121" s="81">
        <f>+TRUNC(11.83/0.75+1.9)</f>
        <v>17</v>
      </c>
      <c r="F121" s="83">
        <v>9</v>
      </c>
      <c r="G121" s="52" t="s">
        <v>57</v>
      </c>
      <c r="H121" s="84">
        <f>30.583*0.35*2</f>
        <v>21.408099999999997</v>
      </c>
      <c r="I121" s="55">
        <f t="shared" si="5"/>
        <v>1237.3881799999999</v>
      </c>
      <c r="J121" s="59"/>
      <c r="K121" s="4"/>
      <c r="L121" s="4"/>
      <c r="M121" s="4"/>
      <c r="N121" s="4"/>
      <c r="O121" s="4"/>
      <c r="P121" s="4"/>
      <c r="Q121" s="4"/>
      <c r="AK121" s="44">
        <f t="shared" si="3"/>
        <v>3.4</v>
      </c>
    </row>
    <row r="122" spans="2:37" ht="12.75" customHeight="1">
      <c r="B122" s="26">
        <f t="shared" si="4"/>
        <v>114</v>
      </c>
      <c r="C122" s="97" t="s">
        <v>423</v>
      </c>
      <c r="D122" s="81"/>
      <c r="E122" s="81">
        <f>+TRUNC(11.83/0.83+1.9)</f>
        <v>16</v>
      </c>
      <c r="F122" s="83">
        <v>9</v>
      </c>
      <c r="G122" s="52" t="s">
        <v>57</v>
      </c>
      <c r="H122" s="84">
        <f>28.33*0.35*2</f>
        <v>19.830999999999996</v>
      </c>
      <c r="I122" s="55">
        <f t="shared" si="5"/>
        <v>1078.8063999999997</v>
      </c>
      <c r="J122" s="59"/>
      <c r="K122" s="4"/>
      <c r="L122" s="4"/>
      <c r="M122" s="4"/>
      <c r="N122" s="4"/>
      <c r="O122" s="4"/>
      <c r="P122" s="4"/>
      <c r="Q122" s="4"/>
      <c r="AK122" s="44">
        <f t="shared" si="3"/>
        <v>3.4</v>
      </c>
    </row>
    <row r="123" spans="2:37" ht="12.75" customHeight="1">
      <c r="B123" s="26">
        <f t="shared" si="4"/>
        <v>115</v>
      </c>
      <c r="C123" s="97" t="s">
        <v>423</v>
      </c>
      <c r="D123" s="81"/>
      <c r="E123" s="81">
        <f>+TRUNC(11.83/0.83+1.9)</f>
        <v>16</v>
      </c>
      <c r="F123" s="83">
        <v>9</v>
      </c>
      <c r="G123" s="52" t="s">
        <v>57</v>
      </c>
      <c r="H123" s="84">
        <f>29*0.35*2</f>
        <v>20.299999999999997</v>
      </c>
      <c r="I123" s="55">
        <f t="shared" si="5"/>
        <v>1104.3199999999997</v>
      </c>
      <c r="J123" s="59"/>
      <c r="K123" s="4"/>
      <c r="L123" s="4"/>
      <c r="M123" s="4"/>
      <c r="N123" s="4"/>
      <c r="O123" s="4"/>
      <c r="P123" s="4"/>
      <c r="Q123" s="4"/>
      <c r="AK123" s="44">
        <f t="shared" si="3"/>
        <v>3.4</v>
      </c>
    </row>
    <row r="124" spans="2:37" ht="12.75" customHeight="1">
      <c r="B124" s="26">
        <f t="shared" si="4"/>
        <v>116</v>
      </c>
      <c r="C124" s="97" t="s">
        <v>424</v>
      </c>
      <c r="D124" s="81"/>
      <c r="E124" s="81">
        <f>+TRUNC(11.83/1+1.9)</f>
        <v>13</v>
      </c>
      <c r="F124" s="83">
        <v>9</v>
      </c>
      <c r="G124" s="52" t="s">
        <v>57</v>
      </c>
      <c r="H124" s="84">
        <f>29*0.35*2</f>
        <v>20.299999999999997</v>
      </c>
      <c r="I124" s="55">
        <f t="shared" si="5"/>
        <v>897.25999999999976</v>
      </c>
      <c r="J124" s="59"/>
      <c r="K124" s="4"/>
      <c r="L124" s="4"/>
      <c r="M124" s="4"/>
      <c r="N124" s="4"/>
      <c r="O124" s="4"/>
      <c r="P124" s="4"/>
      <c r="Q124" s="4"/>
      <c r="AK124" s="44">
        <f t="shared" si="3"/>
        <v>3.4</v>
      </c>
    </row>
    <row r="125" spans="2:37" ht="12.75" customHeight="1">
      <c r="B125" s="26">
        <f t="shared" si="4"/>
        <v>117</v>
      </c>
      <c r="C125" s="97" t="s">
        <v>425</v>
      </c>
      <c r="D125" s="81"/>
      <c r="E125" s="81">
        <f>+TRUNC(11.83/1+1.9)</f>
        <v>13</v>
      </c>
      <c r="F125" s="83">
        <v>8</v>
      </c>
      <c r="G125" s="52" t="s">
        <v>57</v>
      </c>
      <c r="H125" s="84">
        <f>23-0.083</f>
        <v>22.917000000000002</v>
      </c>
      <c r="I125" s="55">
        <f t="shared" si="5"/>
        <v>795.44907000000012</v>
      </c>
      <c r="J125" s="59"/>
      <c r="K125" s="4"/>
      <c r="L125" s="4"/>
      <c r="M125" s="4"/>
      <c r="N125" s="4"/>
      <c r="O125" s="4"/>
      <c r="P125" s="4"/>
      <c r="Q125" s="4"/>
      <c r="AK125" s="44">
        <f t="shared" si="3"/>
        <v>2.67</v>
      </c>
    </row>
    <row r="126" spans="2:37" ht="12.75" customHeight="1">
      <c r="B126" s="26">
        <f t="shared" si="4"/>
        <v>118</v>
      </c>
      <c r="C126" s="87" t="s">
        <v>282</v>
      </c>
      <c r="D126" s="81"/>
      <c r="E126" s="81"/>
      <c r="F126" s="83"/>
      <c r="G126" s="52"/>
      <c r="H126" s="84"/>
      <c r="I126" s="55">
        <f t="shared" si="5"/>
        <v>0</v>
      </c>
      <c r="J126" s="59"/>
      <c r="K126" s="4"/>
      <c r="L126" s="4"/>
      <c r="M126" s="4"/>
      <c r="N126" s="4"/>
      <c r="O126" s="4"/>
      <c r="P126" s="4"/>
      <c r="Q126" s="4"/>
      <c r="AK126" s="44">
        <f t="shared" si="3"/>
        <v>0</v>
      </c>
    </row>
    <row r="127" spans="2:37" ht="12.75" customHeight="1">
      <c r="B127" s="26">
        <f t="shared" si="4"/>
        <v>119</v>
      </c>
      <c r="C127" s="97" t="s">
        <v>413</v>
      </c>
      <c r="D127" s="81"/>
      <c r="E127" s="81">
        <f>+TRUNC(15.83/1+1.9)</f>
        <v>17</v>
      </c>
      <c r="F127" s="83">
        <v>5</v>
      </c>
      <c r="G127" s="52" t="s">
        <v>57</v>
      </c>
      <c r="H127" s="84">
        <f>0.25*29.42-0.083</f>
        <v>7.2720000000000002</v>
      </c>
      <c r="I127" s="55">
        <f t="shared" si="5"/>
        <v>128.939832</v>
      </c>
      <c r="J127" s="59"/>
      <c r="K127" s="4"/>
      <c r="M127" s="4"/>
      <c r="N127" s="4"/>
      <c r="O127" s="4"/>
      <c r="P127" s="4"/>
      <c r="Q127" s="4"/>
      <c r="AK127" s="44">
        <f t="shared" si="3"/>
        <v>1.0429999999999999</v>
      </c>
    </row>
    <row r="128" spans="2:37" ht="12.75" customHeight="1">
      <c r="B128" s="26">
        <f t="shared" si="4"/>
        <v>120</v>
      </c>
      <c r="C128" s="97" t="s">
        <v>414</v>
      </c>
      <c r="D128" s="81"/>
      <c r="E128" s="81">
        <f>+TRUNC(13.83/1+1.9)</f>
        <v>15</v>
      </c>
      <c r="F128" s="83">
        <v>7</v>
      </c>
      <c r="G128" s="52" t="s">
        <v>57</v>
      </c>
      <c r="H128" s="84">
        <f>0.25*29.42*2</f>
        <v>14.71</v>
      </c>
      <c r="I128" s="55">
        <f t="shared" si="5"/>
        <v>451.0086</v>
      </c>
      <c r="J128" s="59"/>
      <c r="K128" s="4"/>
      <c r="L128" s="4"/>
      <c r="M128" s="4"/>
      <c r="N128" s="4"/>
      <c r="O128" s="4"/>
      <c r="P128" s="4"/>
      <c r="Q128" s="4"/>
      <c r="AK128" s="44">
        <f t="shared" si="3"/>
        <v>2.044</v>
      </c>
    </row>
    <row r="129" spans="2:37" ht="12.75" customHeight="1">
      <c r="B129" s="26">
        <f t="shared" si="4"/>
        <v>121</v>
      </c>
      <c r="C129" s="97" t="s">
        <v>414</v>
      </c>
      <c r="D129" s="81"/>
      <c r="E129" s="81">
        <f>+TRUNC(13.25/1+1.9)</f>
        <v>15</v>
      </c>
      <c r="F129" s="83">
        <v>7</v>
      </c>
      <c r="G129" s="52" t="s">
        <v>57</v>
      </c>
      <c r="H129" s="84">
        <f>0.25*30.583*2</f>
        <v>15.291499999999999</v>
      </c>
      <c r="I129" s="55">
        <f t="shared" si="5"/>
        <v>468.83738999999997</v>
      </c>
      <c r="J129" s="59"/>
      <c r="K129" s="4"/>
      <c r="L129" s="4"/>
      <c r="M129" s="4"/>
      <c r="N129" s="4"/>
      <c r="O129" s="4"/>
      <c r="P129" s="4"/>
      <c r="Q129" s="4"/>
      <c r="AK129" s="44">
        <f t="shared" si="3"/>
        <v>2.044</v>
      </c>
    </row>
    <row r="130" spans="2:37" ht="12.75" customHeight="1">
      <c r="B130" s="26">
        <f t="shared" si="4"/>
        <v>122</v>
      </c>
      <c r="C130" s="97" t="s">
        <v>425</v>
      </c>
      <c r="D130" s="81"/>
      <c r="E130" s="81">
        <f>+TRUNC(14.67/1+1.9)</f>
        <v>16</v>
      </c>
      <c r="F130" s="83">
        <v>8</v>
      </c>
      <c r="G130" s="52" t="s">
        <v>57</v>
      </c>
      <c r="H130" s="84">
        <v>38.67</v>
      </c>
      <c r="I130" s="55">
        <f t="shared" si="5"/>
        <v>1651.9824000000001</v>
      </c>
      <c r="J130" s="59"/>
      <c r="L130" s="4"/>
      <c r="M130" s="4"/>
      <c r="N130" s="4"/>
      <c r="O130" s="4"/>
      <c r="P130" s="4"/>
      <c r="Q130" s="4"/>
      <c r="AK130" s="44">
        <f t="shared" si="3"/>
        <v>2.67</v>
      </c>
    </row>
    <row r="131" spans="2:37" ht="12.75" customHeight="1">
      <c r="B131" s="26">
        <f t="shared" si="4"/>
        <v>123</v>
      </c>
      <c r="C131" s="97" t="s">
        <v>414</v>
      </c>
      <c r="D131" s="81"/>
      <c r="E131" s="81">
        <f>+TRUNC(14.67/1+1.9)</f>
        <v>16</v>
      </c>
      <c r="F131" s="83">
        <v>7</v>
      </c>
      <c r="G131" s="52" t="s">
        <v>57</v>
      </c>
      <c r="H131" s="84">
        <f>0.25*29*2</f>
        <v>14.5</v>
      </c>
      <c r="I131" s="55">
        <f t="shared" si="5"/>
        <v>474.20800000000003</v>
      </c>
      <c r="J131" s="59"/>
      <c r="K131" s="4"/>
      <c r="L131" s="4"/>
      <c r="M131" s="4"/>
      <c r="N131" s="4"/>
      <c r="O131" s="4"/>
      <c r="P131" s="4"/>
      <c r="Q131" s="4"/>
      <c r="AK131" s="44">
        <f t="shared" si="3"/>
        <v>2.044</v>
      </c>
    </row>
    <row r="132" spans="2:37" ht="12.75" customHeight="1">
      <c r="B132" s="26">
        <f t="shared" si="4"/>
        <v>124</v>
      </c>
      <c r="C132" s="97" t="s">
        <v>414</v>
      </c>
      <c r="D132" s="81"/>
      <c r="E132" s="81">
        <f>+TRUNC(14.67/1+1.9)</f>
        <v>16</v>
      </c>
      <c r="F132" s="83">
        <v>7</v>
      </c>
      <c r="G132" s="52" t="s">
        <v>57</v>
      </c>
      <c r="H132" s="84">
        <f>19.75-0.083</f>
        <v>19.667000000000002</v>
      </c>
      <c r="I132" s="55">
        <f t="shared" si="5"/>
        <v>643.18956800000001</v>
      </c>
      <c r="J132" s="59"/>
      <c r="K132" s="4"/>
      <c r="L132" s="4"/>
      <c r="M132" s="4"/>
      <c r="N132" s="4"/>
      <c r="O132" s="4"/>
      <c r="P132" s="4"/>
      <c r="Q132" s="4"/>
      <c r="AK132" s="44">
        <f t="shared" si="3"/>
        <v>2.044</v>
      </c>
    </row>
    <row r="133" spans="2:37" ht="12.75" customHeight="1">
      <c r="B133" s="26">
        <f t="shared" si="4"/>
        <v>125</v>
      </c>
      <c r="C133" s="87" t="s">
        <v>400</v>
      </c>
      <c r="D133" s="81"/>
      <c r="E133" s="81"/>
      <c r="F133" s="83"/>
      <c r="G133" s="52"/>
      <c r="H133" s="84"/>
      <c r="I133" s="55">
        <f t="shared" si="5"/>
        <v>0</v>
      </c>
      <c r="J133" s="59"/>
      <c r="L133" s="4"/>
      <c r="M133" s="4"/>
      <c r="N133" s="4"/>
      <c r="O133" s="4"/>
      <c r="P133" s="4"/>
      <c r="Q133" s="4"/>
      <c r="AK133" s="44">
        <f t="shared" si="3"/>
        <v>0</v>
      </c>
    </row>
    <row r="134" spans="2:37" ht="12.75" customHeight="1">
      <c r="B134" s="26">
        <f t="shared" si="4"/>
        <v>126</v>
      </c>
      <c r="C134" s="97" t="s">
        <v>420</v>
      </c>
      <c r="D134" s="81"/>
      <c r="E134" s="81">
        <f>+TRUNC(6/1+1.9)</f>
        <v>7</v>
      </c>
      <c r="F134" s="83">
        <v>5</v>
      </c>
      <c r="G134" s="52" t="s">
        <v>57</v>
      </c>
      <c r="H134" s="84">
        <f>30*0.35-0.083</f>
        <v>10.417</v>
      </c>
      <c r="I134" s="55">
        <f t="shared" si="5"/>
        <v>76.05451699999999</v>
      </c>
      <c r="J134" s="59"/>
      <c r="K134" s="4"/>
      <c r="L134" s="4"/>
      <c r="M134" s="4"/>
      <c r="N134" s="4"/>
      <c r="O134" s="4"/>
      <c r="P134" s="4"/>
      <c r="Q134" s="4"/>
      <c r="AK134" s="44">
        <f t="shared" si="3"/>
        <v>1.0429999999999999</v>
      </c>
    </row>
    <row r="135" spans="2:37" ht="12.75" customHeight="1">
      <c r="B135" s="26">
        <f t="shared" si="4"/>
        <v>127</v>
      </c>
      <c r="C135" s="97" t="s">
        <v>426</v>
      </c>
      <c r="D135" s="81"/>
      <c r="E135" s="81">
        <f>+TRUNC(6.92/0.5+1.9)</f>
        <v>15</v>
      </c>
      <c r="F135" s="83">
        <v>10</v>
      </c>
      <c r="G135" s="52" t="s">
        <v>57</v>
      </c>
      <c r="H135" s="84">
        <v>33.92</v>
      </c>
      <c r="I135" s="55">
        <f t="shared" si="5"/>
        <v>2189.3663999999999</v>
      </c>
      <c r="J135" s="59"/>
      <c r="K135" s="4"/>
      <c r="L135" s="4"/>
      <c r="M135" s="4"/>
      <c r="N135" s="4"/>
      <c r="O135" s="4"/>
      <c r="P135" s="4"/>
      <c r="Q135" s="4"/>
      <c r="AK135" s="44">
        <f t="shared" si="3"/>
        <v>4.3029999999999999</v>
      </c>
    </row>
    <row r="136" spans="2:37" ht="12.75" customHeight="1">
      <c r="B136" s="26">
        <f t="shared" si="4"/>
        <v>128</v>
      </c>
      <c r="C136" s="97" t="s">
        <v>420</v>
      </c>
      <c r="D136" s="81"/>
      <c r="E136" s="81">
        <f>+TRUNC(11.67/1+1.9)</f>
        <v>13</v>
      </c>
      <c r="F136" s="83">
        <v>5</v>
      </c>
      <c r="G136" s="52" t="s">
        <v>57</v>
      </c>
      <c r="H136" s="84">
        <v>34.5</v>
      </c>
      <c r="I136" s="55">
        <f t="shared" si="5"/>
        <v>467.78550000000001</v>
      </c>
      <c r="J136" s="59"/>
      <c r="K136" s="4"/>
      <c r="L136" s="4"/>
      <c r="M136" s="4"/>
      <c r="N136" s="4"/>
      <c r="O136" s="4"/>
      <c r="P136" s="4"/>
      <c r="Q136" s="4"/>
      <c r="AK136" s="44">
        <f t="shared" si="3"/>
        <v>1.0429999999999999</v>
      </c>
    </row>
    <row r="137" spans="2:37" ht="12.75" customHeight="1">
      <c r="B137" s="26">
        <f t="shared" si="4"/>
        <v>129</v>
      </c>
      <c r="C137" s="97" t="s">
        <v>427</v>
      </c>
      <c r="D137" s="81"/>
      <c r="E137" s="81">
        <f>+TRUNC(11.67/0.83+1.9)</f>
        <v>15</v>
      </c>
      <c r="F137" s="83">
        <v>8</v>
      </c>
      <c r="G137" s="52" t="s">
        <v>61</v>
      </c>
      <c r="H137" s="84">
        <v>40</v>
      </c>
      <c r="I137" s="55">
        <f t="shared" si="5"/>
        <v>1602</v>
      </c>
      <c r="J137" s="59"/>
      <c r="K137" s="4"/>
      <c r="L137" s="4"/>
      <c r="M137" s="4"/>
      <c r="N137" s="4"/>
      <c r="O137" s="4"/>
      <c r="P137" s="4"/>
      <c r="Q137" s="4"/>
      <c r="AK137" s="44">
        <f t="shared" ref="AK137:AK200" si="7">IF(F137="",0,VLOOKUP(F137,$CI$16:$CJ$408,2,FALSE))</f>
        <v>2.67</v>
      </c>
    </row>
    <row r="138" spans="2:37" ht="12.75" customHeight="1">
      <c r="B138" s="26">
        <f t="shared" ref="B138:B201" si="8">IF(B137="SL.NO",1,B137+1)</f>
        <v>130</v>
      </c>
      <c r="C138" s="97" t="s">
        <v>427</v>
      </c>
      <c r="D138" s="81"/>
      <c r="E138" s="81">
        <f>+TRUNC(11.67/0.83+1.9)</f>
        <v>15</v>
      </c>
      <c r="F138" s="83">
        <v>8</v>
      </c>
      <c r="G138" s="52" t="s">
        <v>57</v>
      </c>
      <c r="H138" s="84">
        <f>2.83+3.083</f>
        <v>5.9130000000000003</v>
      </c>
      <c r="I138" s="55">
        <f t="shared" si="5"/>
        <v>236.81565000000001</v>
      </c>
      <c r="J138" s="59"/>
      <c r="K138" s="4"/>
      <c r="L138" s="4"/>
      <c r="M138" s="4"/>
      <c r="N138" s="4"/>
      <c r="O138" s="4"/>
      <c r="P138" s="4"/>
      <c r="Q138" s="4"/>
      <c r="AK138" s="44">
        <f t="shared" si="7"/>
        <v>2.67</v>
      </c>
    </row>
    <row r="139" spans="2:37" ht="12.75" customHeight="1">
      <c r="B139" s="26">
        <f t="shared" si="8"/>
        <v>131</v>
      </c>
      <c r="C139" s="97" t="s">
        <v>428</v>
      </c>
      <c r="D139" s="81"/>
      <c r="E139" s="81">
        <f>+TRUNC(11.67/0.67+1.9)</f>
        <v>19</v>
      </c>
      <c r="F139" s="83">
        <v>9</v>
      </c>
      <c r="G139" s="52" t="s">
        <v>57</v>
      </c>
      <c r="H139" s="84">
        <f>28.583*2*0.35</f>
        <v>20.008099999999999</v>
      </c>
      <c r="I139" s="55">
        <f t="shared" si="5"/>
        <v>1292.5232599999997</v>
      </c>
      <c r="J139" s="59"/>
      <c r="K139" s="4"/>
      <c r="L139" s="4"/>
      <c r="M139" s="4"/>
      <c r="N139" s="4"/>
      <c r="O139" s="4"/>
      <c r="P139" s="4"/>
      <c r="Q139" s="4"/>
      <c r="AK139" s="44">
        <f t="shared" si="7"/>
        <v>3.4</v>
      </c>
    </row>
    <row r="140" spans="2:37" ht="12.75" customHeight="1">
      <c r="B140" s="26">
        <f t="shared" si="8"/>
        <v>132</v>
      </c>
      <c r="C140" s="97" t="s">
        <v>429</v>
      </c>
      <c r="D140" s="81"/>
      <c r="E140" s="81">
        <f>+TRUNC(11.42/1+1.9)</f>
        <v>13</v>
      </c>
      <c r="F140" s="83">
        <v>9</v>
      </c>
      <c r="G140" s="52" t="s">
        <v>57</v>
      </c>
      <c r="H140" s="84">
        <f>29.5*2*0.35</f>
        <v>20.65</v>
      </c>
      <c r="I140" s="55">
        <f t="shared" si="5"/>
        <v>912.7299999999999</v>
      </c>
      <c r="J140" s="59"/>
      <c r="K140" s="4"/>
      <c r="L140" s="4"/>
      <c r="M140" s="4"/>
      <c r="N140" s="4"/>
      <c r="O140" s="4"/>
      <c r="P140" s="4"/>
      <c r="Q140" s="4"/>
      <c r="AK140" s="44">
        <f t="shared" si="7"/>
        <v>3.4</v>
      </c>
    </row>
    <row r="141" spans="2:37" ht="12.75" customHeight="1">
      <c r="B141" s="26">
        <f t="shared" si="8"/>
        <v>133</v>
      </c>
      <c r="C141" s="97" t="s">
        <v>430</v>
      </c>
      <c r="D141" s="81"/>
      <c r="E141" s="81">
        <f>+TRUNC(11.42/1+1.9)</f>
        <v>13</v>
      </c>
      <c r="F141" s="83">
        <v>8</v>
      </c>
      <c r="G141" s="52" t="s">
        <v>57</v>
      </c>
      <c r="H141" s="84">
        <f>22.25-0.083</f>
        <v>22.167000000000002</v>
      </c>
      <c r="I141" s="55">
        <f t="shared" si="5"/>
        <v>769.41656999999998</v>
      </c>
      <c r="J141" s="59"/>
      <c r="K141" s="4"/>
      <c r="M141" s="4"/>
      <c r="N141" s="4"/>
      <c r="O141" s="4"/>
      <c r="P141" s="4"/>
      <c r="Q141" s="4"/>
      <c r="AK141" s="44">
        <f t="shared" si="7"/>
        <v>2.67</v>
      </c>
    </row>
    <row r="142" spans="2:37" ht="12.75" customHeight="1">
      <c r="B142" s="26">
        <f t="shared" si="8"/>
        <v>134</v>
      </c>
      <c r="C142" s="87" t="s">
        <v>282</v>
      </c>
      <c r="D142" s="81"/>
      <c r="E142" s="81"/>
      <c r="F142" s="83"/>
      <c r="G142" s="52"/>
      <c r="H142" s="84"/>
      <c r="I142" s="55">
        <f t="shared" si="5"/>
        <v>0</v>
      </c>
      <c r="J142" s="59"/>
      <c r="K142" s="4"/>
      <c r="L142" s="4"/>
      <c r="M142" s="4"/>
      <c r="N142" s="4"/>
      <c r="O142" s="4"/>
      <c r="P142" s="4"/>
      <c r="Q142" s="4"/>
      <c r="AK142" s="44">
        <f t="shared" si="7"/>
        <v>0</v>
      </c>
    </row>
    <row r="143" spans="2:37" ht="12.75" customHeight="1">
      <c r="B143" s="26">
        <f t="shared" si="8"/>
        <v>135</v>
      </c>
      <c r="C143" s="97" t="s">
        <v>420</v>
      </c>
      <c r="D143" s="81"/>
      <c r="E143" s="81">
        <f>+TRUNC(9.583/1+1.9)</f>
        <v>11</v>
      </c>
      <c r="F143" s="83">
        <v>5</v>
      </c>
      <c r="G143" s="52" t="s">
        <v>57</v>
      </c>
      <c r="H143" s="84">
        <f>0.25*32.67-0.083</f>
        <v>8.0845000000000002</v>
      </c>
      <c r="I143" s="55">
        <f t="shared" si="5"/>
        <v>92.753468499999997</v>
      </c>
      <c r="J143" s="59"/>
      <c r="K143" s="4"/>
      <c r="L143" s="4"/>
      <c r="M143" s="4"/>
      <c r="N143" s="4"/>
      <c r="O143" s="4"/>
      <c r="P143" s="4"/>
      <c r="Q143" s="4"/>
      <c r="AK143" s="44">
        <f t="shared" si="7"/>
        <v>1.0429999999999999</v>
      </c>
    </row>
    <row r="144" spans="2:37" ht="12.75" customHeight="1">
      <c r="B144" s="26">
        <f t="shared" si="8"/>
        <v>136</v>
      </c>
      <c r="C144" s="97" t="s">
        <v>427</v>
      </c>
      <c r="D144" s="81"/>
      <c r="E144" s="81">
        <f>+TRUNC(9.583/0.83+1.9)</f>
        <v>13</v>
      </c>
      <c r="F144" s="83">
        <v>8</v>
      </c>
      <c r="G144" s="52" t="s">
        <v>57</v>
      </c>
      <c r="H144" s="84">
        <f>0.25*32.67</f>
        <v>8.1675000000000004</v>
      </c>
      <c r="I144" s="55">
        <f t="shared" si="5"/>
        <v>283.49392499999999</v>
      </c>
      <c r="J144" s="59"/>
      <c r="L144" s="4"/>
      <c r="M144" s="4"/>
      <c r="N144" s="4"/>
      <c r="O144" s="4"/>
      <c r="P144" s="4"/>
      <c r="Q144" s="4"/>
      <c r="AK144" s="44">
        <f t="shared" si="7"/>
        <v>2.67</v>
      </c>
    </row>
    <row r="145" spans="2:37" ht="12.75" customHeight="1">
      <c r="B145" s="26">
        <f t="shared" si="8"/>
        <v>137</v>
      </c>
      <c r="C145" s="97" t="s">
        <v>431</v>
      </c>
      <c r="D145" s="81"/>
      <c r="E145" s="81">
        <f>+TRUNC(9.583/1+1.9)</f>
        <v>11</v>
      </c>
      <c r="F145" s="83">
        <v>6</v>
      </c>
      <c r="G145" s="52" t="s">
        <v>57</v>
      </c>
      <c r="H145" s="84">
        <f>0.25*28.5*2</f>
        <v>14.25</v>
      </c>
      <c r="I145" s="55">
        <f t="shared" si="5"/>
        <v>235.4385</v>
      </c>
      <c r="J145" s="59"/>
      <c r="K145" s="4"/>
      <c r="L145" s="4"/>
      <c r="M145" s="4"/>
      <c r="N145" s="4"/>
      <c r="O145" s="4"/>
      <c r="P145" s="4"/>
      <c r="Q145" s="4"/>
      <c r="AK145" s="44">
        <f t="shared" si="7"/>
        <v>1.502</v>
      </c>
    </row>
    <row r="146" spans="2:37" ht="12.75" customHeight="1">
      <c r="B146" s="26">
        <f t="shared" si="8"/>
        <v>138</v>
      </c>
      <c r="C146" s="97" t="s">
        <v>432</v>
      </c>
      <c r="D146" s="81"/>
      <c r="E146" s="81">
        <f>+TRUNC(9.583/0.83+1.9)</f>
        <v>13</v>
      </c>
      <c r="F146" s="83">
        <v>7</v>
      </c>
      <c r="G146" s="52" t="s">
        <v>57</v>
      </c>
      <c r="H146" s="84">
        <f>0.25*28.5*2</f>
        <v>14.25</v>
      </c>
      <c r="I146" s="55">
        <f t="shared" si="5"/>
        <v>378.65100000000001</v>
      </c>
      <c r="J146" s="59"/>
      <c r="K146" s="4"/>
      <c r="L146" s="4"/>
      <c r="M146" s="4"/>
      <c r="N146" s="4"/>
      <c r="O146" s="4"/>
      <c r="P146" s="4"/>
      <c r="Q146" s="4"/>
      <c r="AK146" s="44">
        <f t="shared" si="7"/>
        <v>2.044</v>
      </c>
    </row>
    <row r="147" spans="2:37" ht="12.75" customHeight="1">
      <c r="B147" s="26">
        <f t="shared" si="8"/>
        <v>139</v>
      </c>
      <c r="C147" s="97" t="s">
        <v>430</v>
      </c>
      <c r="D147" s="81"/>
      <c r="E147" s="81">
        <f>+TRUNC(4.67/1+1.9)</f>
        <v>6</v>
      </c>
      <c r="F147" s="83">
        <v>8</v>
      </c>
      <c r="G147" s="52" t="s">
        <v>57</v>
      </c>
      <c r="H147" s="84">
        <v>19.670000000000002</v>
      </c>
      <c r="I147" s="55">
        <f t="shared" si="5"/>
        <v>315.11340000000001</v>
      </c>
      <c r="J147" s="59"/>
      <c r="L147" s="4"/>
      <c r="M147" s="4"/>
      <c r="N147" s="4"/>
      <c r="O147" s="4"/>
      <c r="P147" s="4"/>
      <c r="Q147" s="4"/>
      <c r="AK147" s="44">
        <f t="shared" si="7"/>
        <v>2.67</v>
      </c>
    </row>
    <row r="148" spans="2:37" ht="12.75" customHeight="1">
      <c r="B148" s="26">
        <f t="shared" si="8"/>
        <v>140</v>
      </c>
      <c r="C148" s="97" t="s">
        <v>420</v>
      </c>
      <c r="D148" s="81"/>
      <c r="E148" s="81">
        <f>+TRUNC(3.67/1+1.9)</f>
        <v>5</v>
      </c>
      <c r="F148" s="83">
        <v>5</v>
      </c>
      <c r="G148" s="52" t="s">
        <v>57</v>
      </c>
      <c r="H148" s="84">
        <f>7.25-0.083*2</f>
        <v>7.0839999999999996</v>
      </c>
      <c r="I148" s="55">
        <f t="shared" si="5"/>
        <v>36.943059999999996</v>
      </c>
      <c r="J148" s="59"/>
      <c r="K148" s="4"/>
      <c r="L148" s="4"/>
      <c r="M148" s="4"/>
      <c r="N148" s="4"/>
      <c r="O148" s="4"/>
      <c r="P148" s="4"/>
      <c r="Q148" s="4"/>
      <c r="AK148" s="44">
        <f t="shared" si="7"/>
        <v>1.0429999999999999</v>
      </c>
    </row>
    <row r="149" spans="2:37" ht="12.75" customHeight="1">
      <c r="B149" s="26">
        <f t="shared" si="8"/>
        <v>141</v>
      </c>
      <c r="C149" s="87" t="s">
        <v>400</v>
      </c>
      <c r="D149" s="81"/>
      <c r="E149" s="81"/>
      <c r="F149" s="83"/>
      <c r="G149" s="52"/>
      <c r="H149" s="84"/>
      <c r="I149" s="55">
        <f t="shared" si="5"/>
        <v>0</v>
      </c>
      <c r="J149" s="59"/>
      <c r="K149" s="4"/>
      <c r="L149" s="4"/>
      <c r="M149" s="4"/>
      <c r="N149" s="4"/>
      <c r="O149" s="4"/>
      <c r="P149" s="4"/>
      <c r="Q149" s="4"/>
      <c r="AK149" s="44">
        <f t="shared" si="7"/>
        <v>0</v>
      </c>
    </row>
    <row r="150" spans="2:37" ht="12.75" customHeight="1">
      <c r="B150" s="26">
        <f t="shared" si="8"/>
        <v>142</v>
      </c>
      <c r="C150" s="97" t="s">
        <v>429</v>
      </c>
      <c r="D150" s="81"/>
      <c r="E150" s="81">
        <f>+TRUNC(11.75/1+1.9)</f>
        <v>13</v>
      </c>
      <c r="F150" s="83">
        <v>9</v>
      </c>
      <c r="G150" s="52" t="s">
        <v>57</v>
      </c>
      <c r="H150" s="84">
        <f>34.083-0.083*2</f>
        <v>33.917000000000002</v>
      </c>
      <c r="I150" s="55">
        <f t="shared" si="5"/>
        <v>1499.1314</v>
      </c>
      <c r="J150" s="59"/>
      <c r="K150" s="4"/>
      <c r="L150" s="4"/>
      <c r="M150" s="4"/>
      <c r="N150" s="4"/>
      <c r="O150" s="4"/>
      <c r="P150" s="4"/>
      <c r="Q150" s="4"/>
      <c r="AK150" s="44">
        <f t="shared" si="7"/>
        <v>3.4</v>
      </c>
    </row>
    <row r="151" spans="2:37" ht="12.75" customHeight="1">
      <c r="B151" s="26">
        <f t="shared" si="8"/>
        <v>143</v>
      </c>
      <c r="C151" s="97" t="s">
        <v>429</v>
      </c>
      <c r="D151" s="81"/>
      <c r="E151" s="81">
        <f>+TRUNC(17.92/1+1.9)</f>
        <v>19</v>
      </c>
      <c r="F151" s="83">
        <v>9</v>
      </c>
      <c r="G151" s="52" t="s">
        <v>57</v>
      </c>
      <c r="H151" s="84">
        <f>30.25-0.083*2</f>
        <v>30.084</v>
      </c>
      <c r="I151" s="55">
        <f t="shared" si="5"/>
        <v>1943.4264000000001</v>
      </c>
      <c r="J151" s="59"/>
      <c r="K151" s="4"/>
      <c r="L151" s="4"/>
      <c r="M151" s="4"/>
      <c r="N151" s="4"/>
      <c r="O151" s="4"/>
      <c r="P151" s="4"/>
      <c r="Q151" s="4"/>
      <c r="AK151" s="44">
        <f t="shared" si="7"/>
        <v>3.4</v>
      </c>
    </row>
    <row r="152" spans="2:37" ht="12.75" customHeight="1">
      <c r="B152" s="26">
        <f t="shared" si="8"/>
        <v>144</v>
      </c>
      <c r="C152" s="97" t="s">
        <v>420</v>
      </c>
      <c r="D152" s="81"/>
      <c r="E152" s="81">
        <f>+TRUNC(9.25/1+1.9)</f>
        <v>11</v>
      </c>
      <c r="F152" s="83">
        <v>5</v>
      </c>
      <c r="G152" s="52" t="s">
        <v>57</v>
      </c>
      <c r="H152" s="84">
        <f>32.67*0.35-0.083</f>
        <v>11.3515</v>
      </c>
      <c r="I152" s="55">
        <f t="shared" si="5"/>
        <v>130.2357595</v>
      </c>
      <c r="J152" s="59"/>
      <c r="K152" s="4"/>
      <c r="L152" s="4"/>
      <c r="M152" s="4"/>
      <c r="N152" s="4"/>
      <c r="O152" s="4"/>
      <c r="P152" s="4"/>
      <c r="Q152" s="4"/>
      <c r="AK152" s="44">
        <f t="shared" si="7"/>
        <v>1.0429999999999999</v>
      </c>
    </row>
    <row r="153" spans="2:37" ht="12.75" customHeight="1">
      <c r="B153" s="26">
        <f t="shared" si="8"/>
        <v>145</v>
      </c>
      <c r="C153" s="97" t="s">
        <v>420</v>
      </c>
      <c r="D153" s="81"/>
      <c r="E153" s="81">
        <f>+TRUNC(9.25/1+1.9)</f>
        <v>11</v>
      </c>
      <c r="F153" s="83">
        <v>5</v>
      </c>
      <c r="G153" s="52" t="s">
        <v>57</v>
      </c>
      <c r="H153" s="84">
        <v>31.67</v>
      </c>
      <c r="I153" s="55">
        <f t="shared" si="5"/>
        <v>363.34991000000002</v>
      </c>
      <c r="J153" s="59"/>
      <c r="K153" s="4"/>
      <c r="L153" s="4"/>
      <c r="M153" s="4"/>
      <c r="N153" s="4"/>
      <c r="O153" s="4"/>
      <c r="P153" s="4"/>
      <c r="Q153" s="4"/>
      <c r="AK153" s="44">
        <f t="shared" si="7"/>
        <v>1.0429999999999999</v>
      </c>
    </row>
    <row r="154" spans="2:37" ht="12.75" customHeight="1">
      <c r="B154" s="26">
        <f t="shared" si="8"/>
        <v>146</v>
      </c>
      <c r="C154" s="97" t="s">
        <v>433</v>
      </c>
      <c r="D154" s="81"/>
      <c r="E154" s="81">
        <f>+TRUNC(9.33/0.583+1.9)</f>
        <v>17</v>
      </c>
      <c r="F154" s="83">
        <v>9</v>
      </c>
      <c r="G154" s="52" t="s">
        <v>57</v>
      </c>
      <c r="H154" s="84">
        <f>32.67*0.35*2</f>
        <v>22.869</v>
      </c>
      <c r="I154" s="55">
        <f t="shared" si="5"/>
        <v>1321.8281999999999</v>
      </c>
      <c r="J154" s="59"/>
      <c r="K154" s="4"/>
      <c r="L154" s="4"/>
      <c r="M154" s="4"/>
      <c r="N154" s="4"/>
      <c r="O154" s="4"/>
      <c r="P154" s="4"/>
      <c r="Q154" s="4"/>
      <c r="AK154" s="44">
        <f t="shared" si="7"/>
        <v>3.4</v>
      </c>
    </row>
    <row r="155" spans="2:37" ht="12.75" customHeight="1">
      <c r="B155" s="26">
        <f t="shared" si="8"/>
        <v>147</v>
      </c>
      <c r="C155" s="97" t="s">
        <v>434</v>
      </c>
      <c r="D155" s="81"/>
      <c r="E155" s="81">
        <f>+TRUNC(9.33/1+1.9)</f>
        <v>11</v>
      </c>
      <c r="F155" s="83">
        <v>6</v>
      </c>
      <c r="G155" s="52" t="s">
        <v>57</v>
      </c>
      <c r="H155" s="84">
        <f>28.33*0.35*2</f>
        <v>19.830999999999996</v>
      </c>
      <c r="I155" s="55">
        <f t="shared" si="5"/>
        <v>327.64778199999995</v>
      </c>
      <c r="J155" s="59"/>
      <c r="K155" s="4"/>
      <c r="M155" s="4"/>
      <c r="N155" s="4"/>
      <c r="O155" s="4"/>
      <c r="P155" s="4"/>
      <c r="Q155" s="4"/>
      <c r="AK155" s="44">
        <f t="shared" si="7"/>
        <v>1.502</v>
      </c>
    </row>
    <row r="156" spans="2:37" ht="12.75" customHeight="1">
      <c r="B156" s="26">
        <f t="shared" si="8"/>
        <v>148</v>
      </c>
      <c r="C156" s="97" t="s">
        <v>428</v>
      </c>
      <c r="D156" s="81"/>
      <c r="E156" s="81">
        <f>+TRUNC(4.67/0.67+1.9)</f>
        <v>8</v>
      </c>
      <c r="F156" s="83">
        <v>9</v>
      </c>
      <c r="G156" s="52" t="s">
        <v>57</v>
      </c>
      <c r="H156" s="84">
        <f>28.33*0.35*2</f>
        <v>19.830999999999996</v>
      </c>
      <c r="I156" s="55">
        <f t="shared" si="5"/>
        <v>539.40319999999986</v>
      </c>
      <c r="J156" s="59"/>
      <c r="K156" s="4"/>
      <c r="L156" s="4"/>
      <c r="M156" s="4"/>
      <c r="N156" s="4"/>
      <c r="O156" s="4"/>
      <c r="P156" s="4"/>
      <c r="Q156" s="4"/>
      <c r="AK156" s="44">
        <f t="shared" si="7"/>
        <v>3.4</v>
      </c>
    </row>
    <row r="157" spans="2:37" ht="12.75" customHeight="1">
      <c r="B157" s="26">
        <f t="shared" si="8"/>
        <v>149</v>
      </c>
      <c r="C157" s="97" t="s">
        <v>422</v>
      </c>
      <c r="D157" s="81"/>
      <c r="E157" s="81">
        <f>+TRUNC(4.67/0.75+1.9)</f>
        <v>8</v>
      </c>
      <c r="F157" s="83">
        <v>9</v>
      </c>
      <c r="G157" s="52" t="s">
        <v>57</v>
      </c>
      <c r="H157" s="84">
        <f>29.583*0.35*2</f>
        <v>20.708099999999998</v>
      </c>
      <c r="I157" s="55">
        <f t="shared" si="5"/>
        <v>563.26031999999998</v>
      </c>
      <c r="J157" s="59"/>
      <c r="K157" s="4"/>
      <c r="L157" s="4"/>
      <c r="M157" s="4"/>
      <c r="N157" s="4"/>
      <c r="O157" s="4"/>
      <c r="P157" s="4"/>
      <c r="Q157" s="4"/>
      <c r="AK157" s="44">
        <f t="shared" si="7"/>
        <v>3.4</v>
      </c>
    </row>
    <row r="158" spans="2:37" ht="12.75" customHeight="1">
      <c r="B158" s="26">
        <f t="shared" si="8"/>
        <v>150</v>
      </c>
      <c r="C158" s="97" t="s">
        <v>415</v>
      </c>
      <c r="D158" s="81"/>
      <c r="E158" s="81">
        <f>+TRUNC(5.75/1+1.9)</f>
        <v>7</v>
      </c>
      <c r="F158" s="83">
        <v>7</v>
      </c>
      <c r="G158" s="52" t="s">
        <v>57</v>
      </c>
      <c r="H158" s="84">
        <f>29.583*0.35*2</f>
        <v>20.708099999999998</v>
      </c>
      <c r="I158" s="55">
        <f t="shared" si="5"/>
        <v>296.29149480000001</v>
      </c>
      <c r="J158" s="59"/>
      <c r="L158" s="4"/>
      <c r="M158" s="4"/>
      <c r="N158" s="4"/>
      <c r="O158" s="4"/>
      <c r="P158" s="4"/>
      <c r="Q158" s="4"/>
      <c r="AK158" s="44">
        <f t="shared" si="7"/>
        <v>2.044</v>
      </c>
    </row>
    <row r="159" spans="2:37" ht="12.75" customHeight="1">
      <c r="B159" s="26">
        <f t="shared" si="8"/>
        <v>151</v>
      </c>
      <c r="C159" s="97" t="s">
        <v>420</v>
      </c>
      <c r="D159" s="81"/>
      <c r="E159" s="81">
        <f>+TRUNC(5.75/1+1.9)</f>
        <v>7</v>
      </c>
      <c r="F159" s="83">
        <v>5</v>
      </c>
      <c r="G159" s="52" t="s">
        <v>57</v>
      </c>
      <c r="H159" s="84">
        <f>14*0.35-0.083</f>
        <v>4.8169999999999993</v>
      </c>
      <c r="I159" s="55">
        <f t="shared" si="5"/>
        <v>35.168916999999993</v>
      </c>
      <c r="J159" s="59"/>
      <c r="K159" s="4"/>
      <c r="L159" s="4"/>
      <c r="M159" s="4"/>
      <c r="N159" s="4"/>
      <c r="O159" s="4"/>
      <c r="P159" s="4"/>
      <c r="Q159" s="4"/>
      <c r="AK159" s="44">
        <f t="shared" si="7"/>
        <v>1.0429999999999999</v>
      </c>
    </row>
    <row r="160" spans="2:37" ht="12.75" customHeight="1">
      <c r="B160" s="26">
        <f t="shared" si="8"/>
        <v>152</v>
      </c>
      <c r="C160" s="87" t="s">
        <v>282</v>
      </c>
      <c r="D160" s="81"/>
      <c r="E160" s="81"/>
      <c r="F160" s="83"/>
      <c r="G160" s="52"/>
      <c r="H160" s="84"/>
      <c r="I160" s="55">
        <f t="shared" si="5"/>
        <v>0</v>
      </c>
      <c r="J160" s="59"/>
      <c r="K160" s="4"/>
      <c r="L160" s="4"/>
      <c r="M160" s="4"/>
      <c r="N160" s="4"/>
      <c r="O160" s="4"/>
      <c r="P160" s="4"/>
      <c r="Q160" s="4"/>
      <c r="AK160" s="44">
        <f t="shared" si="7"/>
        <v>0</v>
      </c>
    </row>
    <row r="161" spans="2:37" ht="12.75" customHeight="1">
      <c r="B161" s="26">
        <f t="shared" si="8"/>
        <v>153</v>
      </c>
      <c r="C161" s="97" t="s">
        <v>420</v>
      </c>
      <c r="D161" s="81"/>
      <c r="E161" s="81">
        <f>+TRUNC(7.5/1+1.9)</f>
        <v>9</v>
      </c>
      <c r="F161" s="83">
        <v>5</v>
      </c>
      <c r="G161" s="52" t="s">
        <v>57</v>
      </c>
      <c r="H161" s="84">
        <f>31.42*0.25-0.083</f>
        <v>7.7720000000000002</v>
      </c>
      <c r="I161" s="55">
        <f t="shared" si="5"/>
        <v>72.955763999999988</v>
      </c>
      <c r="J161" s="59"/>
      <c r="K161" s="4"/>
      <c r="L161" s="4"/>
      <c r="M161" s="4"/>
      <c r="N161" s="4"/>
      <c r="O161" s="4"/>
      <c r="P161" s="4"/>
      <c r="Q161" s="4"/>
      <c r="AK161" s="44">
        <f t="shared" si="7"/>
        <v>1.0429999999999999</v>
      </c>
    </row>
    <row r="162" spans="2:37" ht="12.75" customHeight="1">
      <c r="B162" s="26">
        <f t="shared" si="8"/>
        <v>154</v>
      </c>
      <c r="C162" s="97" t="s">
        <v>420</v>
      </c>
      <c r="D162" s="81"/>
      <c r="E162" s="81">
        <f>+TRUNC(8.67/1+1.9)</f>
        <v>10</v>
      </c>
      <c r="F162" s="83">
        <v>5</v>
      </c>
      <c r="G162" s="52" t="s">
        <v>57</v>
      </c>
      <c r="H162" s="84">
        <v>30.83</v>
      </c>
      <c r="I162" s="55">
        <f t="shared" si="5"/>
        <v>321.55689999999993</v>
      </c>
      <c r="J162" s="59"/>
      <c r="L162" s="4"/>
      <c r="M162" s="4"/>
      <c r="N162" s="4"/>
      <c r="O162" s="4"/>
      <c r="P162" s="4"/>
      <c r="Q162" s="4"/>
      <c r="AK162" s="44">
        <f t="shared" si="7"/>
        <v>1.0429999999999999</v>
      </c>
    </row>
    <row r="163" spans="2:37" ht="12.75" customHeight="1">
      <c r="B163" s="26">
        <f t="shared" si="8"/>
        <v>155</v>
      </c>
      <c r="C163" s="97" t="s">
        <v>430</v>
      </c>
      <c r="D163" s="81"/>
      <c r="E163" s="81">
        <f>+TRUNC(9.92/1+1.9)</f>
        <v>11</v>
      </c>
      <c r="F163" s="83">
        <v>8</v>
      </c>
      <c r="G163" s="52" t="s">
        <v>57</v>
      </c>
      <c r="H163" s="84">
        <v>30.83</v>
      </c>
      <c r="I163" s="55">
        <f t="shared" si="5"/>
        <v>905.47709999999995</v>
      </c>
      <c r="J163" s="59"/>
      <c r="K163" s="4"/>
      <c r="L163" s="4"/>
      <c r="M163" s="4"/>
      <c r="N163" s="4"/>
      <c r="O163" s="4"/>
      <c r="P163" s="4"/>
      <c r="Q163" s="4"/>
      <c r="AK163" s="44">
        <f t="shared" si="7"/>
        <v>2.67</v>
      </c>
    </row>
    <row r="164" spans="2:37" ht="12.75" customHeight="1">
      <c r="B164" s="26">
        <f t="shared" si="8"/>
        <v>156</v>
      </c>
      <c r="C164" s="97" t="s">
        <v>420</v>
      </c>
      <c r="D164" s="81"/>
      <c r="E164" s="81">
        <f>+TRUNC(9.92/1+1.9)</f>
        <v>11</v>
      </c>
      <c r="F164" s="83">
        <v>5</v>
      </c>
      <c r="G164" s="52" t="s">
        <v>57</v>
      </c>
      <c r="H164" s="84">
        <f>27.25*0.25*2</f>
        <v>13.625</v>
      </c>
      <c r="I164" s="55">
        <f t="shared" si="5"/>
        <v>156.319625</v>
      </c>
      <c r="J164" s="59"/>
      <c r="K164" s="4"/>
      <c r="L164" s="4"/>
      <c r="M164" s="4"/>
      <c r="N164" s="4"/>
      <c r="O164" s="4"/>
      <c r="P164" s="4"/>
      <c r="Q164" s="4"/>
      <c r="AK164" s="44">
        <f t="shared" si="7"/>
        <v>1.0429999999999999</v>
      </c>
    </row>
    <row r="165" spans="2:37" ht="12.75" customHeight="1">
      <c r="B165" s="26">
        <f t="shared" si="8"/>
        <v>157</v>
      </c>
      <c r="C165" s="97" t="s">
        <v>415</v>
      </c>
      <c r="D165" s="81"/>
      <c r="E165" s="81">
        <f>+TRUNC(9.92/1+1.9)</f>
        <v>11</v>
      </c>
      <c r="F165" s="83">
        <v>7</v>
      </c>
      <c r="G165" s="52" t="s">
        <v>57</v>
      </c>
      <c r="H165" s="84">
        <f>30.67*0.25*2</f>
        <v>15.335000000000001</v>
      </c>
      <c r="I165" s="55">
        <f t="shared" si="5"/>
        <v>344.79214000000002</v>
      </c>
      <c r="J165" s="59"/>
      <c r="L165" s="4"/>
      <c r="M165" s="4"/>
      <c r="N165" s="4"/>
      <c r="O165" s="4"/>
      <c r="P165" s="4"/>
      <c r="Q165" s="4"/>
      <c r="AK165" s="44">
        <f t="shared" si="7"/>
        <v>2.044</v>
      </c>
    </row>
    <row r="166" spans="2:37" ht="12.75" customHeight="1">
      <c r="B166" s="26">
        <f t="shared" si="8"/>
        <v>158</v>
      </c>
      <c r="C166" s="97" t="s">
        <v>420</v>
      </c>
      <c r="D166" s="81"/>
      <c r="E166" s="81">
        <f>+TRUNC(10.25/1+1.9)</f>
        <v>12</v>
      </c>
      <c r="F166" s="83">
        <v>5</v>
      </c>
      <c r="G166" s="52" t="s">
        <v>57</v>
      </c>
      <c r="H166" s="84">
        <v>30.082999999999998</v>
      </c>
      <c r="I166" s="55">
        <f t="shared" si="5"/>
        <v>376.51882799999998</v>
      </c>
      <c r="J166" s="59"/>
      <c r="K166" s="4"/>
      <c r="L166" s="4"/>
      <c r="M166" s="4"/>
      <c r="N166" s="4"/>
      <c r="O166" s="4"/>
      <c r="P166" s="4"/>
      <c r="Q166" s="4"/>
      <c r="AK166" s="44">
        <f t="shared" si="7"/>
        <v>1.0429999999999999</v>
      </c>
    </row>
    <row r="167" spans="2:37" ht="12.75" customHeight="1">
      <c r="B167" s="26">
        <f t="shared" si="8"/>
        <v>159</v>
      </c>
      <c r="C167" s="97" t="s">
        <v>422</v>
      </c>
      <c r="D167" s="81"/>
      <c r="E167" s="81">
        <f>+TRUNC(5.33/0.75+1.9)</f>
        <v>9</v>
      </c>
      <c r="F167" s="83">
        <v>9</v>
      </c>
      <c r="G167" s="52" t="s">
        <v>57</v>
      </c>
      <c r="H167" s="84">
        <f>30.67*0.25*2</f>
        <v>15.335000000000001</v>
      </c>
      <c r="I167" s="55">
        <f t="shared" si="5"/>
        <v>469.25100000000003</v>
      </c>
      <c r="J167" s="59"/>
      <c r="K167" s="4"/>
      <c r="L167" s="4"/>
      <c r="M167" s="4"/>
      <c r="N167" s="4"/>
      <c r="O167" s="4"/>
      <c r="P167" s="4"/>
      <c r="Q167" s="4"/>
      <c r="AK167" s="44">
        <f t="shared" si="7"/>
        <v>3.4</v>
      </c>
    </row>
    <row r="168" spans="2:37" ht="12.75" customHeight="1">
      <c r="B168" s="26">
        <f t="shared" si="8"/>
        <v>160</v>
      </c>
      <c r="C168" s="97" t="s">
        <v>415</v>
      </c>
      <c r="D168" s="81"/>
      <c r="E168" s="81">
        <f>+TRUNC(9.92/1+1.9)</f>
        <v>11</v>
      </c>
      <c r="F168" s="83">
        <v>7</v>
      </c>
      <c r="G168" s="52" t="s">
        <v>57</v>
      </c>
      <c r="H168" s="84">
        <f>30.67*0.25*2</f>
        <v>15.335000000000001</v>
      </c>
      <c r="I168" s="55">
        <f t="shared" si="5"/>
        <v>344.79214000000002</v>
      </c>
      <c r="J168" s="59"/>
      <c r="K168" s="4"/>
      <c r="L168" s="4"/>
      <c r="M168" s="4"/>
      <c r="N168" s="4"/>
      <c r="O168" s="4"/>
      <c r="P168" s="4"/>
      <c r="Q168" s="4"/>
      <c r="AK168" s="44">
        <f t="shared" si="7"/>
        <v>2.044</v>
      </c>
    </row>
    <row r="169" spans="2:37" ht="12.75" customHeight="1">
      <c r="B169" s="26">
        <f t="shared" si="8"/>
        <v>161</v>
      </c>
      <c r="C169" s="97" t="s">
        <v>420</v>
      </c>
      <c r="D169" s="81"/>
      <c r="E169" s="81">
        <f>+TRUNC(10.67/1+1.9)</f>
        <v>12</v>
      </c>
      <c r="F169" s="83">
        <v>5</v>
      </c>
      <c r="G169" s="52" t="s">
        <v>57</v>
      </c>
      <c r="H169" s="84">
        <f>13.583*0.25-0.083</f>
        <v>3.3127499999999999</v>
      </c>
      <c r="I169" s="55">
        <f t="shared" si="5"/>
        <v>41.462378999999999</v>
      </c>
      <c r="J169" s="59"/>
      <c r="K169" s="4"/>
      <c r="L169" s="4"/>
      <c r="M169" s="4"/>
      <c r="N169" s="4"/>
      <c r="O169" s="4"/>
      <c r="P169" s="4"/>
      <c r="Q169" s="4"/>
      <c r="AK169" s="44">
        <f t="shared" si="7"/>
        <v>1.0429999999999999</v>
      </c>
    </row>
    <row r="170" spans="2:37" ht="12.75" customHeight="1">
      <c r="B170" s="26">
        <f t="shared" si="8"/>
        <v>162</v>
      </c>
      <c r="C170" s="87" t="s">
        <v>400</v>
      </c>
      <c r="D170" s="81"/>
      <c r="E170" s="81"/>
      <c r="F170" s="83"/>
      <c r="G170" s="52"/>
      <c r="H170" s="84"/>
      <c r="I170" s="55">
        <f t="shared" si="5"/>
        <v>0</v>
      </c>
      <c r="J170" s="59"/>
      <c r="K170" s="4"/>
      <c r="L170" s="4"/>
      <c r="M170" s="4"/>
      <c r="N170" s="4"/>
      <c r="O170" s="4"/>
      <c r="P170" s="4"/>
      <c r="Q170" s="4"/>
      <c r="AK170" s="44">
        <f t="shared" si="7"/>
        <v>0</v>
      </c>
    </row>
    <row r="171" spans="2:37" ht="12.75" customHeight="1">
      <c r="B171" s="26">
        <f t="shared" si="8"/>
        <v>163</v>
      </c>
      <c r="C171" s="97" t="s">
        <v>420</v>
      </c>
      <c r="D171" s="81"/>
      <c r="E171" s="81">
        <f>+TRUNC(10.67/1+1.9)</f>
        <v>12</v>
      </c>
      <c r="F171" s="83">
        <v>5</v>
      </c>
      <c r="G171" s="52" t="s">
        <v>57</v>
      </c>
      <c r="H171" s="84">
        <f>17.5*0.35</f>
        <v>6.125</v>
      </c>
      <c r="I171" s="55">
        <f t="shared" si="5"/>
        <v>76.660499999999999</v>
      </c>
      <c r="J171" s="59"/>
      <c r="K171" s="4"/>
      <c r="L171" s="4"/>
      <c r="M171" s="4"/>
      <c r="N171" s="4"/>
      <c r="O171" s="4"/>
      <c r="P171" s="4"/>
      <c r="Q171" s="4"/>
      <c r="AK171" s="44">
        <f t="shared" si="7"/>
        <v>1.0429999999999999</v>
      </c>
    </row>
    <row r="172" spans="2:37" ht="12.75" customHeight="1">
      <c r="B172" s="26">
        <f t="shared" si="8"/>
        <v>164</v>
      </c>
      <c r="C172" s="97" t="s">
        <v>415</v>
      </c>
      <c r="D172" s="81"/>
      <c r="E172" s="81">
        <f>+TRUNC(10.67/1+1.9)</f>
        <v>12</v>
      </c>
      <c r="F172" s="83">
        <v>7</v>
      </c>
      <c r="G172" s="52" t="s">
        <v>57</v>
      </c>
      <c r="H172" s="84">
        <v>36.75</v>
      </c>
      <c r="I172" s="55">
        <f t="shared" si="5"/>
        <v>901.404</v>
      </c>
      <c r="J172" s="59"/>
      <c r="K172" s="4"/>
      <c r="L172" s="4"/>
      <c r="M172" s="4"/>
      <c r="N172" s="4"/>
      <c r="O172" s="4"/>
      <c r="P172" s="4"/>
      <c r="Q172" s="4"/>
      <c r="AK172" s="44">
        <f t="shared" si="7"/>
        <v>2.044</v>
      </c>
    </row>
    <row r="173" spans="2:37" ht="12.75" customHeight="1">
      <c r="B173" s="26">
        <f t="shared" si="8"/>
        <v>165</v>
      </c>
      <c r="C173" s="97" t="s">
        <v>430</v>
      </c>
      <c r="D173" s="81"/>
      <c r="E173" s="81">
        <f>+TRUNC(5.67/1+1.9)</f>
        <v>7</v>
      </c>
      <c r="F173" s="83">
        <v>8</v>
      </c>
      <c r="G173" s="52" t="s">
        <v>57</v>
      </c>
      <c r="H173" s="84">
        <v>35.5</v>
      </c>
      <c r="I173" s="55">
        <f t="shared" si="5"/>
        <v>663.495</v>
      </c>
      <c r="J173" s="59"/>
      <c r="K173" s="4"/>
      <c r="M173" s="4"/>
      <c r="N173" s="4"/>
      <c r="O173" s="4"/>
      <c r="P173" s="4"/>
      <c r="Q173" s="4"/>
      <c r="AK173" s="44">
        <f t="shared" si="7"/>
        <v>2.67</v>
      </c>
    </row>
    <row r="174" spans="2:37" ht="12.75" customHeight="1">
      <c r="B174" s="26">
        <f t="shared" si="8"/>
        <v>166</v>
      </c>
      <c r="C174" s="97" t="s">
        <v>429</v>
      </c>
      <c r="D174" s="81"/>
      <c r="E174" s="81">
        <f>+TRUNC(10.67/1+1.9)</f>
        <v>12</v>
      </c>
      <c r="F174" s="83">
        <v>9</v>
      </c>
      <c r="G174" s="52" t="s">
        <v>57</v>
      </c>
      <c r="H174" s="84">
        <f>30.2*0.35*2</f>
        <v>21.139999999999997</v>
      </c>
      <c r="I174" s="55">
        <f t="shared" si="5"/>
        <v>862.51199999999994</v>
      </c>
      <c r="J174" s="59"/>
      <c r="K174" s="4"/>
      <c r="L174" s="4"/>
      <c r="M174" s="4"/>
      <c r="N174" s="4"/>
      <c r="O174" s="4"/>
      <c r="P174" s="4"/>
      <c r="Q174" s="4"/>
      <c r="AK174" s="44">
        <f t="shared" si="7"/>
        <v>3.4</v>
      </c>
    </row>
    <row r="175" spans="2:37" ht="12.75" customHeight="1">
      <c r="B175" s="26">
        <f t="shared" si="8"/>
        <v>167</v>
      </c>
      <c r="C175" s="97" t="s">
        <v>420</v>
      </c>
      <c r="D175" s="81"/>
      <c r="E175" s="81">
        <f>+TRUNC(10.67/1+1.9)</f>
        <v>12</v>
      </c>
      <c r="F175" s="83">
        <v>5</v>
      </c>
      <c r="G175" s="52" t="s">
        <v>57</v>
      </c>
      <c r="H175" s="84">
        <v>30.167000000000002</v>
      </c>
      <c r="I175" s="55">
        <f t="shared" si="5"/>
        <v>377.57017200000001</v>
      </c>
      <c r="J175" s="59"/>
      <c r="K175" s="4"/>
      <c r="L175" s="4"/>
      <c r="M175" s="4"/>
      <c r="N175" s="4"/>
      <c r="O175" s="4"/>
      <c r="P175" s="4"/>
      <c r="Q175" s="4"/>
      <c r="AK175" s="44">
        <f t="shared" si="7"/>
        <v>1.0429999999999999</v>
      </c>
    </row>
    <row r="176" spans="2:37" ht="12.75" customHeight="1">
      <c r="B176" s="26">
        <f t="shared" si="8"/>
        <v>168</v>
      </c>
      <c r="C176" s="97" t="s">
        <v>428</v>
      </c>
      <c r="D176" s="81"/>
      <c r="E176" s="81">
        <f>+TRUNC(10.75/0.67+1.9)</f>
        <v>17</v>
      </c>
      <c r="F176" s="83">
        <v>9</v>
      </c>
      <c r="G176" s="52" t="s">
        <v>57</v>
      </c>
      <c r="H176" s="84">
        <f>30.2*0.35*2</f>
        <v>21.139999999999997</v>
      </c>
      <c r="I176" s="55">
        <f t="shared" si="5"/>
        <v>1221.8919999999998</v>
      </c>
      <c r="J176" s="59"/>
      <c r="L176" s="4"/>
      <c r="M176" s="4"/>
      <c r="N176" s="4"/>
      <c r="O176" s="4"/>
      <c r="P176" s="4"/>
      <c r="Q176" s="4"/>
      <c r="AK176" s="44">
        <f t="shared" si="7"/>
        <v>3.4</v>
      </c>
    </row>
    <row r="177" spans="2:37" ht="12.75" customHeight="1">
      <c r="B177" s="26">
        <f t="shared" si="8"/>
        <v>169</v>
      </c>
      <c r="C177" s="97" t="s">
        <v>431</v>
      </c>
      <c r="D177" s="81"/>
      <c r="E177" s="81">
        <f>+TRUNC(10.75/1+1.9)</f>
        <v>12</v>
      </c>
      <c r="F177" s="83">
        <v>6</v>
      </c>
      <c r="G177" s="52" t="s">
        <v>57</v>
      </c>
      <c r="H177" s="84">
        <f>21*0.35-0.083</f>
        <v>7.2669999999999995</v>
      </c>
      <c r="I177" s="55">
        <f t="shared" si="5"/>
        <v>130.98040799999998</v>
      </c>
      <c r="J177" s="59"/>
      <c r="K177" s="4"/>
      <c r="L177" s="4"/>
      <c r="M177" s="4"/>
      <c r="N177" s="4"/>
      <c r="O177" s="4"/>
      <c r="P177" s="4"/>
      <c r="Q177" s="4"/>
      <c r="AK177" s="44">
        <f t="shared" si="7"/>
        <v>1.502</v>
      </c>
    </row>
    <row r="178" spans="2:37" ht="12.75" customHeight="1">
      <c r="B178" s="26">
        <f t="shared" si="8"/>
        <v>170</v>
      </c>
      <c r="C178" s="97" t="s">
        <v>431</v>
      </c>
      <c r="D178" s="81"/>
      <c r="E178" s="81">
        <f>+TRUNC(10.75/1+1.9)</f>
        <v>12</v>
      </c>
      <c r="F178" s="83">
        <v>6</v>
      </c>
      <c r="G178" s="52" t="s">
        <v>57</v>
      </c>
      <c r="H178" s="84">
        <f>22.42*0.35-0.083</f>
        <v>7.7640000000000002</v>
      </c>
      <c r="I178" s="55">
        <f t="shared" si="5"/>
        <v>139.93833599999999</v>
      </c>
      <c r="J178" s="59"/>
      <c r="K178" s="4"/>
      <c r="L178" s="4"/>
      <c r="M178" s="4"/>
      <c r="N178" s="4"/>
      <c r="O178" s="4"/>
      <c r="P178" s="4"/>
      <c r="Q178" s="4"/>
      <c r="AK178" s="44">
        <f t="shared" si="7"/>
        <v>1.502</v>
      </c>
    </row>
    <row r="179" spans="2:37" ht="12.75" customHeight="1">
      <c r="B179" s="26">
        <f t="shared" si="8"/>
        <v>171</v>
      </c>
      <c r="C179" s="97" t="s">
        <v>435</v>
      </c>
      <c r="D179" s="81"/>
      <c r="E179" s="81">
        <f>+TRUNC(10.75/0.5+1.9)</f>
        <v>23</v>
      </c>
      <c r="F179" s="83">
        <v>9</v>
      </c>
      <c r="G179" s="52" t="s">
        <v>57</v>
      </c>
      <c r="H179" s="84">
        <f>31.583*0.35*2</f>
        <v>22.108099999999997</v>
      </c>
      <c r="I179" s="55">
        <f t="shared" si="5"/>
        <v>1728.8534199999997</v>
      </c>
      <c r="J179" s="59"/>
      <c r="K179" s="4"/>
      <c r="L179" s="4"/>
      <c r="M179" s="4"/>
      <c r="N179" s="4"/>
      <c r="O179" s="4"/>
      <c r="P179" s="4"/>
      <c r="Q179" s="4"/>
      <c r="AK179" s="44">
        <f t="shared" si="7"/>
        <v>3.4</v>
      </c>
    </row>
    <row r="180" spans="2:37" ht="12.75" customHeight="1">
      <c r="B180" s="26">
        <f t="shared" si="8"/>
        <v>172</v>
      </c>
      <c r="C180" s="97" t="s">
        <v>429</v>
      </c>
      <c r="D180" s="81"/>
      <c r="E180" s="81">
        <f>+TRUNC(11.167/1+1.9)</f>
        <v>13</v>
      </c>
      <c r="F180" s="83">
        <v>9</v>
      </c>
      <c r="G180" s="52" t="s">
        <v>57</v>
      </c>
      <c r="H180" s="84">
        <f>31.583*0.35*2</f>
        <v>22.108099999999997</v>
      </c>
      <c r="I180" s="55">
        <f t="shared" si="5"/>
        <v>977.17801999999983</v>
      </c>
      <c r="J180" s="59"/>
      <c r="K180" s="4"/>
      <c r="L180" s="4"/>
      <c r="M180" s="4"/>
      <c r="N180" s="4"/>
      <c r="O180" s="4"/>
      <c r="P180" s="4"/>
      <c r="Q180" s="4"/>
      <c r="AK180" s="44">
        <f t="shared" si="7"/>
        <v>3.4</v>
      </c>
    </row>
    <row r="181" spans="2:37" ht="12.75" customHeight="1">
      <c r="B181" s="26">
        <f t="shared" si="8"/>
        <v>173</v>
      </c>
      <c r="C181" s="97" t="s">
        <v>430</v>
      </c>
      <c r="D181" s="81"/>
      <c r="E181" s="81">
        <f>+TRUNC(11.167/1+1.9)</f>
        <v>13</v>
      </c>
      <c r="F181" s="83">
        <v>8</v>
      </c>
      <c r="G181" s="52" t="s">
        <v>57</v>
      </c>
      <c r="H181" s="84">
        <v>24</v>
      </c>
      <c r="I181" s="55">
        <f t="shared" si="5"/>
        <v>833.04</v>
      </c>
      <c r="J181" s="59"/>
      <c r="L181" s="4"/>
      <c r="M181" s="4"/>
      <c r="N181" s="4"/>
      <c r="O181" s="4"/>
      <c r="P181" s="4"/>
      <c r="Q181" s="4"/>
      <c r="AK181" s="44">
        <f t="shared" si="7"/>
        <v>2.67</v>
      </c>
    </row>
    <row r="182" spans="2:37" ht="12.75" customHeight="1">
      <c r="B182" s="26">
        <f t="shared" si="8"/>
        <v>174</v>
      </c>
      <c r="C182" s="87" t="s">
        <v>282</v>
      </c>
      <c r="D182" s="81"/>
      <c r="E182" s="81"/>
      <c r="F182" s="83"/>
      <c r="G182" s="52"/>
      <c r="H182" s="84"/>
      <c r="I182" s="55">
        <f t="shared" si="5"/>
        <v>0</v>
      </c>
      <c r="J182" s="59"/>
      <c r="K182" s="4"/>
      <c r="L182" s="4"/>
      <c r="M182" s="4"/>
      <c r="N182" s="4"/>
      <c r="O182" s="4"/>
      <c r="P182" s="4"/>
      <c r="Q182" s="4"/>
      <c r="AK182" s="44">
        <f t="shared" si="7"/>
        <v>0</v>
      </c>
    </row>
    <row r="183" spans="2:37" ht="12.75" customHeight="1">
      <c r="B183" s="26">
        <f t="shared" si="8"/>
        <v>175</v>
      </c>
      <c r="C183" s="97" t="s">
        <v>420</v>
      </c>
      <c r="D183" s="81"/>
      <c r="E183" s="81">
        <f>+TRUNC(13.167/1+1.9)</f>
        <v>15</v>
      </c>
      <c r="F183" s="83">
        <v>5</v>
      </c>
      <c r="G183" s="52" t="s">
        <v>65</v>
      </c>
      <c r="H183" s="84">
        <f>17.92*0.25+0.83</f>
        <v>5.3100000000000005</v>
      </c>
      <c r="I183" s="55">
        <f t="shared" si="5"/>
        <v>83.074950000000001</v>
      </c>
      <c r="J183" s="59"/>
      <c r="K183" s="4"/>
      <c r="L183" s="4"/>
      <c r="M183" s="4"/>
      <c r="N183" s="4"/>
      <c r="O183" s="4"/>
      <c r="P183" s="4"/>
      <c r="Q183" s="4"/>
      <c r="AK183" s="44">
        <f t="shared" si="7"/>
        <v>1.0429999999999999</v>
      </c>
    </row>
    <row r="184" spans="2:37" ht="12.75" customHeight="1">
      <c r="B184" s="26">
        <f t="shared" si="8"/>
        <v>176</v>
      </c>
      <c r="C184" s="97" t="s">
        <v>415</v>
      </c>
      <c r="D184" s="81"/>
      <c r="E184" s="81">
        <f>+TRUNC(13.167/1+1.9)</f>
        <v>15</v>
      </c>
      <c r="F184" s="83">
        <v>7</v>
      </c>
      <c r="G184" s="52" t="s">
        <v>57</v>
      </c>
      <c r="H184" s="84">
        <v>32.25</v>
      </c>
      <c r="I184" s="55">
        <f t="shared" si="5"/>
        <v>988.78499999999997</v>
      </c>
      <c r="J184" s="59"/>
      <c r="K184" s="4"/>
      <c r="L184" s="4"/>
      <c r="M184" s="4"/>
      <c r="N184" s="4"/>
      <c r="O184" s="4"/>
      <c r="P184" s="4"/>
      <c r="Q184" s="4"/>
      <c r="AK184" s="44">
        <f t="shared" si="7"/>
        <v>2.044</v>
      </c>
    </row>
    <row r="185" spans="2:37" ht="12.75" customHeight="1">
      <c r="B185" s="26">
        <f t="shared" si="8"/>
        <v>177</v>
      </c>
      <c r="C185" s="97" t="s">
        <v>420</v>
      </c>
      <c r="D185" s="81"/>
      <c r="E185" s="81">
        <f>+TRUNC(12.83/1+1.9)</f>
        <v>14</v>
      </c>
      <c r="F185" s="83">
        <v>5</v>
      </c>
      <c r="G185" s="52" t="s">
        <v>57</v>
      </c>
      <c r="H185" s="84">
        <v>30</v>
      </c>
      <c r="I185" s="55">
        <f t="shared" si="5"/>
        <v>438.06</v>
      </c>
      <c r="J185" s="59"/>
      <c r="K185" s="4"/>
      <c r="L185" s="4"/>
      <c r="M185" s="4"/>
      <c r="N185" s="4"/>
      <c r="O185" s="4"/>
      <c r="P185" s="4"/>
      <c r="Q185" s="4"/>
      <c r="AK185" s="44">
        <f t="shared" si="7"/>
        <v>1.0429999999999999</v>
      </c>
    </row>
    <row r="186" spans="2:37" ht="12.75" customHeight="1">
      <c r="B186" s="26">
        <f t="shared" si="8"/>
        <v>178</v>
      </c>
      <c r="C186" s="97" t="s">
        <v>415</v>
      </c>
      <c r="D186" s="81"/>
      <c r="E186" s="81">
        <f>+TRUNC(11.67/1+1.9)</f>
        <v>13</v>
      </c>
      <c r="F186" s="83">
        <v>7</v>
      </c>
      <c r="G186" s="52" t="s">
        <v>57</v>
      </c>
      <c r="H186" s="84">
        <f>30.167*0.25*2</f>
        <v>15.083500000000001</v>
      </c>
      <c r="I186" s="55">
        <f t="shared" si="5"/>
        <v>400.79876200000001</v>
      </c>
      <c r="J186" s="59"/>
      <c r="K186" s="4"/>
      <c r="L186" s="4"/>
      <c r="M186" s="4"/>
      <c r="N186" s="4"/>
      <c r="O186" s="4"/>
      <c r="P186" s="4"/>
      <c r="Q186" s="4"/>
      <c r="AK186" s="44">
        <f t="shared" si="7"/>
        <v>2.044</v>
      </c>
    </row>
    <row r="187" spans="2:37" ht="12.75" customHeight="1">
      <c r="B187" s="26">
        <f t="shared" si="8"/>
        <v>179</v>
      </c>
      <c r="C187" s="97" t="s">
        <v>420</v>
      </c>
      <c r="D187" s="81"/>
      <c r="E187" s="81">
        <f>+TRUNC(11.67/1+1.9)</f>
        <v>13</v>
      </c>
      <c r="F187" s="83">
        <v>5</v>
      </c>
      <c r="G187" s="52" t="s">
        <v>57</v>
      </c>
      <c r="H187" s="84">
        <f>26*0.25*2</f>
        <v>13</v>
      </c>
      <c r="I187" s="55">
        <f t="shared" si="5"/>
        <v>176.267</v>
      </c>
      <c r="J187" s="59"/>
      <c r="K187" s="4"/>
      <c r="L187" s="4"/>
      <c r="M187" s="4"/>
      <c r="N187" s="4"/>
      <c r="O187" s="4"/>
      <c r="P187" s="4"/>
      <c r="Q187" s="4"/>
      <c r="AK187" s="44">
        <f t="shared" si="7"/>
        <v>1.0429999999999999</v>
      </c>
    </row>
    <row r="188" spans="2:37" ht="12.75" customHeight="1">
      <c r="B188" s="26">
        <f t="shared" si="8"/>
        <v>180</v>
      </c>
      <c r="C188" s="97" t="s">
        <v>415</v>
      </c>
      <c r="D188" s="81"/>
      <c r="E188" s="81">
        <f>+TRUNC(11.67/1+1.9)</f>
        <v>13</v>
      </c>
      <c r="F188" s="83">
        <v>7</v>
      </c>
      <c r="G188" s="52" t="s">
        <v>57</v>
      </c>
      <c r="H188" s="84">
        <f>31.583*0.25*2</f>
        <v>15.791499999999999</v>
      </c>
      <c r="I188" s="55">
        <f t="shared" si="5"/>
        <v>419.61173799999995</v>
      </c>
      <c r="J188" s="59"/>
      <c r="K188" s="4"/>
      <c r="L188" s="4"/>
      <c r="M188" s="4"/>
      <c r="N188" s="4"/>
      <c r="O188" s="4"/>
      <c r="P188" s="4"/>
      <c r="Q188" s="4"/>
      <c r="AK188" s="44">
        <f t="shared" si="7"/>
        <v>2.044</v>
      </c>
    </row>
    <row r="189" spans="2:37" ht="12.75" customHeight="1">
      <c r="B189" s="26">
        <f t="shared" si="8"/>
        <v>181</v>
      </c>
      <c r="C189" s="97" t="s">
        <v>420</v>
      </c>
      <c r="D189" s="81"/>
      <c r="E189" s="81">
        <f>+TRUNC(11.67/1+1.9)</f>
        <v>13</v>
      </c>
      <c r="F189" s="83">
        <v>5</v>
      </c>
      <c r="G189" s="52" t="s">
        <v>57</v>
      </c>
      <c r="H189" s="84">
        <v>31.25</v>
      </c>
      <c r="I189" s="55">
        <f t="shared" si="5"/>
        <v>423.71875</v>
      </c>
      <c r="J189" s="59"/>
      <c r="K189" s="4"/>
      <c r="M189" s="4"/>
      <c r="N189" s="4"/>
      <c r="O189" s="4"/>
      <c r="P189" s="4"/>
      <c r="Q189" s="4"/>
      <c r="AK189" s="44">
        <f t="shared" si="7"/>
        <v>1.0429999999999999</v>
      </c>
    </row>
    <row r="190" spans="2:37" ht="12.75" customHeight="1">
      <c r="B190" s="26">
        <f t="shared" si="8"/>
        <v>182</v>
      </c>
      <c r="C190" s="97" t="s">
        <v>415</v>
      </c>
      <c r="D190" s="81"/>
      <c r="E190" s="81">
        <f>+TRUNC(11.67/1+1.9)</f>
        <v>13</v>
      </c>
      <c r="F190" s="83">
        <v>7</v>
      </c>
      <c r="G190" s="52" t="s">
        <v>57</v>
      </c>
      <c r="H190" s="84">
        <f>20.583-0.083</f>
        <v>20.5</v>
      </c>
      <c r="I190" s="55">
        <f t="shared" si="5"/>
        <v>544.726</v>
      </c>
      <c r="J190" s="59"/>
      <c r="K190" s="4"/>
      <c r="L190" s="4"/>
      <c r="M190" s="4"/>
      <c r="N190" s="4"/>
      <c r="O190" s="4"/>
      <c r="P190" s="4"/>
      <c r="Q190" s="4"/>
      <c r="AK190" s="44">
        <f t="shared" si="7"/>
        <v>2.044</v>
      </c>
    </row>
    <row r="191" spans="2:37" ht="12.75" customHeight="1">
      <c r="B191" s="26">
        <f t="shared" si="8"/>
        <v>183</v>
      </c>
      <c r="C191" s="87" t="s">
        <v>411</v>
      </c>
      <c r="D191" s="81"/>
      <c r="E191" s="81"/>
      <c r="F191" s="83"/>
      <c r="G191" s="52"/>
      <c r="H191" s="84"/>
      <c r="I191" s="55">
        <f t="shared" si="5"/>
        <v>0</v>
      </c>
      <c r="J191" s="59"/>
      <c r="K191" s="4"/>
      <c r="L191" s="4"/>
      <c r="M191" s="4"/>
      <c r="N191" s="4"/>
      <c r="O191" s="4"/>
      <c r="P191" s="4"/>
      <c r="Q191" s="4"/>
      <c r="AK191" s="44">
        <f t="shared" si="7"/>
        <v>0</v>
      </c>
    </row>
    <row r="192" spans="2:37" ht="12.75" customHeight="1">
      <c r="B192" s="26">
        <f t="shared" si="8"/>
        <v>184</v>
      </c>
      <c r="C192" s="97" t="s">
        <v>431</v>
      </c>
      <c r="D192" s="81"/>
      <c r="E192" s="81">
        <f>+TRUNC(6.92/1+1.9)</f>
        <v>8</v>
      </c>
      <c r="F192" s="83">
        <v>6</v>
      </c>
      <c r="G192" s="52" t="s">
        <v>57</v>
      </c>
      <c r="H192" s="84">
        <f>18.42*0.35-0.083+0.83</f>
        <v>7.194</v>
      </c>
      <c r="I192" s="55">
        <f t="shared" si="5"/>
        <v>86.443104000000005</v>
      </c>
      <c r="J192" s="59"/>
      <c r="L192" s="4"/>
      <c r="M192" s="4"/>
      <c r="N192" s="4"/>
      <c r="O192" s="4"/>
      <c r="P192" s="4"/>
      <c r="Q192" s="4"/>
      <c r="AK192" s="44">
        <f t="shared" si="7"/>
        <v>1.502</v>
      </c>
    </row>
    <row r="193" spans="2:37" ht="12.75" customHeight="1">
      <c r="B193" s="26">
        <f t="shared" si="8"/>
        <v>185</v>
      </c>
      <c r="C193" s="97" t="s">
        <v>415</v>
      </c>
      <c r="D193" s="81"/>
      <c r="E193" s="81">
        <f>+TRUNC(6.92/1+1.9)</f>
        <v>8</v>
      </c>
      <c r="F193" s="83">
        <v>7</v>
      </c>
      <c r="G193" s="52" t="s">
        <v>57</v>
      </c>
      <c r="H193" s="84">
        <v>37</v>
      </c>
      <c r="I193" s="55">
        <f t="shared" si="5"/>
        <v>605.024</v>
      </c>
      <c r="J193" s="59"/>
      <c r="K193" s="4"/>
      <c r="L193" s="4"/>
      <c r="M193" s="4"/>
      <c r="N193" s="4"/>
      <c r="O193" s="4"/>
      <c r="P193" s="4"/>
      <c r="Q193" s="4"/>
      <c r="AK193" s="44">
        <f t="shared" si="7"/>
        <v>2.044</v>
      </c>
    </row>
    <row r="194" spans="2:37" ht="12.75" customHeight="1">
      <c r="B194" s="26">
        <f t="shared" si="8"/>
        <v>186</v>
      </c>
      <c r="C194" s="97" t="s">
        <v>420</v>
      </c>
      <c r="D194" s="81"/>
      <c r="E194" s="81">
        <f>+TRUNC(6.33/1+1.9)</f>
        <v>8</v>
      </c>
      <c r="F194" s="83">
        <v>5</v>
      </c>
      <c r="G194" s="52" t="s">
        <v>57</v>
      </c>
      <c r="H194" s="84">
        <v>30.25</v>
      </c>
      <c r="I194" s="55">
        <f t="shared" si="5"/>
        <v>252.40599999999998</v>
      </c>
      <c r="J194" s="59"/>
      <c r="K194" s="4"/>
      <c r="L194" s="4"/>
      <c r="M194" s="4"/>
      <c r="N194" s="4"/>
      <c r="O194" s="4"/>
      <c r="P194" s="4"/>
      <c r="Q194" s="4"/>
      <c r="AK194" s="44">
        <f t="shared" si="7"/>
        <v>1.0429999999999999</v>
      </c>
    </row>
    <row r="195" spans="2:37" ht="12.75" customHeight="1">
      <c r="B195" s="26">
        <f t="shared" si="8"/>
        <v>187</v>
      </c>
      <c r="C195" s="97" t="s">
        <v>422</v>
      </c>
      <c r="D195" s="81"/>
      <c r="E195" s="81">
        <f>+TRUNC(5.83/0.75+1.9)</f>
        <v>9</v>
      </c>
      <c r="F195" s="83">
        <v>9</v>
      </c>
      <c r="G195" s="52" t="s">
        <v>57</v>
      </c>
      <c r="H195" s="84">
        <f>30.167*0.35*2</f>
        <v>21.116900000000001</v>
      </c>
      <c r="I195" s="55">
        <f t="shared" si="5"/>
        <v>646.17714000000001</v>
      </c>
      <c r="J195" s="59"/>
      <c r="L195" s="4"/>
      <c r="M195" s="4"/>
      <c r="N195" s="4"/>
      <c r="O195" s="4"/>
      <c r="P195" s="4"/>
      <c r="Q195" s="4"/>
      <c r="AK195" s="44">
        <f t="shared" si="7"/>
        <v>3.4</v>
      </c>
    </row>
    <row r="196" spans="2:37" ht="12.75" customHeight="1">
      <c r="B196" s="26">
        <f t="shared" si="8"/>
        <v>188</v>
      </c>
      <c r="C196" s="97" t="s">
        <v>418</v>
      </c>
      <c r="D196" s="81"/>
      <c r="E196" s="81">
        <f>+TRUNC(5.83/0.83+1.9)</f>
        <v>8</v>
      </c>
      <c r="F196" s="83">
        <v>6</v>
      </c>
      <c r="G196" s="52" t="s">
        <v>57</v>
      </c>
      <c r="H196" s="84">
        <f>26*0.35*2</f>
        <v>18.2</v>
      </c>
      <c r="I196" s="55">
        <f t="shared" si="5"/>
        <v>218.69119999999998</v>
      </c>
      <c r="J196" s="59"/>
      <c r="K196" s="4"/>
      <c r="L196" s="4"/>
      <c r="M196" s="4"/>
      <c r="N196" s="4"/>
      <c r="O196" s="4"/>
      <c r="P196" s="4"/>
      <c r="Q196" s="4"/>
      <c r="AK196" s="44">
        <f t="shared" si="7"/>
        <v>1.502</v>
      </c>
    </row>
    <row r="197" spans="2:37" ht="12.75" customHeight="1">
      <c r="B197" s="26">
        <f t="shared" si="8"/>
        <v>189</v>
      </c>
      <c r="C197" s="97" t="s">
        <v>436</v>
      </c>
      <c r="D197" s="81"/>
      <c r="E197" s="81">
        <f>+TRUNC(5.83/0.83+1.9)</f>
        <v>8</v>
      </c>
      <c r="F197" s="83">
        <v>9</v>
      </c>
      <c r="G197" s="52" t="s">
        <v>57</v>
      </c>
      <c r="H197" s="84">
        <f>32.5*0.35*2</f>
        <v>22.75</v>
      </c>
      <c r="I197" s="55">
        <f t="shared" si="5"/>
        <v>618.79999999999995</v>
      </c>
      <c r="J197" s="59"/>
      <c r="K197" s="4"/>
      <c r="L197" s="4"/>
      <c r="M197" s="4"/>
      <c r="N197" s="4"/>
      <c r="O197" s="4"/>
      <c r="P197" s="4"/>
      <c r="Q197" s="4"/>
      <c r="AK197" s="44">
        <f t="shared" si="7"/>
        <v>3.4</v>
      </c>
    </row>
    <row r="198" spans="2:37" ht="12.75" customHeight="1">
      <c r="B198" s="26">
        <f t="shared" si="8"/>
        <v>190</v>
      </c>
      <c r="C198" s="97" t="s">
        <v>420</v>
      </c>
      <c r="D198" s="81"/>
      <c r="E198" s="81">
        <f>+TRUNC(5.83/1+1.9)</f>
        <v>7</v>
      </c>
      <c r="F198" s="83">
        <v>5</v>
      </c>
      <c r="G198" s="52" t="s">
        <v>57</v>
      </c>
      <c r="H198" s="84">
        <v>32.5</v>
      </c>
      <c r="I198" s="55">
        <f t="shared" si="5"/>
        <v>237.2825</v>
      </c>
      <c r="J198" s="59"/>
      <c r="K198" s="4"/>
      <c r="L198" s="4"/>
      <c r="M198" s="4"/>
      <c r="N198" s="4"/>
      <c r="O198" s="4"/>
      <c r="P198" s="4"/>
      <c r="Q198" s="4"/>
      <c r="AK198" s="44">
        <f t="shared" si="7"/>
        <v>1.0429999999999999</v>
      </c>
    </row>
    <row r="199" spans="2:37" ht="12.75" customHeight="1">
      <c r="B199" s="26">
        <f t="shared" si="8"/>
        <v>191</v>
      </c>
      <c r="C199" s="97" t="s">
        <v>429</v>
      </c>
      <c r="D199" s="81"/>
      <c r="E199" s="81">
        <f>+TRUNC(5.83/1+1.9)</f>
        <v>7</v>
      </c>
      <c r="F199" s="83">
        <v>9</v>
      </c>
      <c r="G199" s="52" t="s">
        <v>57</v>
      </c>
      <c r="H199" s="84">
        <f>32.6*0.35*2</f>
        <v>22.82</v>
      </c>
      <c r="I199" s="55">
        <f t="shared" si="5"/>
        <v>543.11599999999999</v>
      </c>
      <c r="J199" s="59"/>
      <c r="K199" s="4"/>
      <c r="L199" s="4"/>
      <c r="M199" s="4"/>
      <c r="N199" s="4"/>
      <c r="O199" s="4"/>
      <c r="P199" s="4"/>
      <c r="Q199" s="4"/>
      <c r="AK199" s="44">
        <f t="shared" si="7"/>
        <v>3.4</v>
      </c>
    </row>
    <row r="200" spans="2:37" ht="12.75" customHeight="1">
      <c r="B200" s="26">
        <f t="shared" si="8"/>
        <v>192</v>
      </c>
      <c r="C200" s="97" t="s">
        <v>430</v>
      </c>
      <c r="D200" s="81"/>
      <c r="E200" s="81">
        <f>+TRUNC(5.83/1+1.9)</f>
        <v>7</v>
      </c>
      <c r="F200" s="83">
        <v>8</v>
      </c>
      <c r="G200" s="52" t="s">
        <v>57</v>
      </c>
      <c r="H200" s="84">
        <f>12.25-0.083</f>
        <v>12.167</v>
      </c>
      <c r="I200" s="55">
        <f t="shared" si="5"/>
        <v>227.40123</v>
      </c>
      <c r="J200" s="59"/>
      <c r="K200" s="4"/>
      <c r="M200" s="4"/>
      <c r="N200" s="4"/>
      <c r="O200" s="4"/>
      <c r="P200" s="4"/>
      <c r="Q200" s="4"/>
      <c r="AK200" s="44">
        <f t="shared" si="7"/>
        <v>2.67</v>
      </c>
    </row>
    <row r="201" spans="2:37" ht="12.75" customHeight="1">
      <c r="B201" s="26">
        <f t="shared" si="8"/>
        <v>193</v>
      </c>
      <c r="C201" s="42" t="s">
        <v>437</v>
      </c>
      <c r="D201" s="153"/>
      <c r="E201" s="23"/>
      <c r="F201" s="23"/>
      <c r="G201" s="23"/>
      <c r="H201" s="25"/>
      <c r="I201" s="55">
        <f t="shared" si="5"/>
        <v>0</v>
      </c>
      <c r="J201" s="59"/>
      <c r="K201" s="4"/>
      <c r="L201" s="4"/>
      <c r="M201" s="4"/>
      <c r="N201" s="4"/>
      <c r="O201" s="4"/>
      <c r="P201" s="4"/>
      <c r="Q201" s="4"/>
      <c r="AK201" s="44">
        <f t="shared" ref="AK201:AK264" si="9">IF(F201="",0,VLOOKUP(F201,$CI$16:$CJ$408,2,FALSE))</f>
        <v>0</v>
      </c>
    </row>
    <row r="202" spans="2:37" ht="12.75" customHeight="1">
      <c r="B202" s="26">
        <f t="shared" ref="B202:B265" si="10">IF(B201="SL.NO",1,B201+1)</f>
        <v>194</v>
      </c>
      <c r="C202" s="28" t="s">
        <v>438</v>
      </c>
      <c r="D202" s="53"/>
      <c r="E202" s="53"/>
      <c r="F202" s="53"/>
      <c r="G202" s="53"/>
      <c r="H202" s="154"/>
      <c r="I202" s="55">
        <f t="shared" si="5"/>
        <v>0</v>
      </c>
      <c r="J202" s="59"/>
      <c r="K202" s="4"/>
      <c r="L202" s="4"/>
      <c r="M202" s="4"/>
      <c r="N202" s="4"/>
      <c r="O202" s="4"/>
      <c r="P202" s="4"/>
      <c r="Q202" s="4"/>
      <c r="AK202" s="44">
        <f t="shared" si="9"/>
        <v>0</v>
      </c>
    </row>
    <row r="203" spans="2:37" ht="12.75" customHeight="1">
      <c r="B203" s="26">
        <f t="shared" si="10"/>
        <v>195</v>
      </c>
      <c r="C203" s="31" t="s">
        <v>97</v>
      </c>
      <c r="D203" s="53"/>
      <c r="E203" s="53">
        <f>TRUNC(2/1+1.9)</f>
        <v>3</v>
      </c>
      <c r="F203" s="53">
        <v>5</v>
      </c>
      <c r="G203" s="53" t="s">
        <v>57</v>
      </c>
      <c r="H203" s="154">
        <f>(8-0.083)+0.5</f>
        <v>8.4169999999999998</v>
      </c>
      <c r="I203" s="55">
        <f t="shared" si="5"/>
        <v>26.336793</v>
      </c>
      <c r="J203" s="59"/>
      <c r="L203" s="4"/>
      <c r="M203" s="4"/>
      <c r="N203" s="4"/>
      <c r="O203" s="4"/>
      <c r="P203" s="4"/>
      <c r="Q203" s="4"/>
      <c r="AK203" s="44">
        <f t="shared" si="9"/>
        <v>1.0429999999999999</v>
      </c>
    </row>
    <row r="204" spans="2:37" ht="12.75" customHeight="1">
      <c r="B204" s="26">
        <f t="shared" si="10"/>
        <v>196</v>
      </c>
      <c r="C204" s="31" t="s">
        <v>439</v>
      </c>
      <c r="D204" s="53"/>
      <c r="E204" s="53">
        <f>TRUNC(2/1+1.9)</f>
        <v>3</v>
      </c>
      <c r="F204" s="53">
        <v>7</v>
      </c>
      <c r="G204" s="53" t="s">
        <v>57</v>
      </c>
      <c r="H204" s="154">
        <f>21.33+0.5*2</f>
        <v>22.33</v>
      </c>
      <c r="I204" s="55">
        <f t="shared" si="5"/>
        <v>136.92756</v>
      </c>
      <c r="J204" s="59"/>
      <c r="K204" s="4"/>
      <c r="L204" s="4"/>
      <c r="M204" s="4"/>
      <c r="N204" s="4"/>
      <c r="O204" s="4"/>
      <c r="P204" s="4"/>
      <c r="Q204" s="4"/>
      <c r="AK204" s="44">
        <f t="shared" si="9"/>
        <v>2.044</v>
      </c>
    </row>
    <row r="205" spans="2:37" ht="12.75" customHeight="1">
      <c r="B205" s="26">
        <f t="shared" si="10"/>
        <v>197</v>
      </c>
      <c r="C205" s="31" t="s">
        <v>440</v>
      </c>
      <c r="D205" s="53"/>
      <c r="E205" s="53">
        <f>TRUNC(2/1+1.9)</f>
        <v>3</v>
      </c>
      <c r="F205" s="53">
        <v>8</v>
      </c>
      <c r="G205" s="53" t="s">
        <v>57</v>
      </c>
      <c r="H205" s="154">
        <f>23.25+0.5-0.083</f>
        <v>23.667000000000002</v>
      </c>
      <c r="I205" s="55">
        <f t="shared" si="5"/>
        <v>189.57267000000002</v>
      </c>
      <c r="J205" s="59"/>
      <c r="K205" s="4"/>
      <c r="L205" s="4"/>
      <c r="M205" s="4"/>
      <c r="N205" s="4"/>
      <c r="O205" s="4"/>
      <c r="P205" s="4"/>
      <c r="Q205" s="4"/>
      <c r="AK205" s="44">
        <f t="shared" si="9"/>
        <v>2.67</v>
      </c>
    </row>
    <row r="206" spans="2:37" ht="12.75" customHeight="1">
      <c r="B206" s="26">
        <f t="shared" si="10"/>
        <v>198</v>
      </c>
      <c r="C206" s="28" t="s">
        <v>441</v>
      </c>
      <c r="D206" s="53"/>
      <c r="E206" s="53"/>
      <c r="F206" s="53"/>
      <c r="G206" s="53"/>
      <c r="H206" s="154"/>
      <c r="I206" s="55">
        <f t="shared" si="5"/>
        <v>0</v>
      </c>
      <c r="J206" s="59"/>
      <c r="K206" s="4"/>
      <c r="L206" s="4"/>
      <c r="M206" s="4"/>
      <c r="N206" s="4"/>
      <c r="O206" s="4"/>
      <c r="P206" s="4"/>
      <c r="Q206" s="4"/>
      <c r="AK206" s="44">
        <f t="shared" si="9"/>
        <v>0</v>
      </c>
    </row>
    <row r="207" spans="2:37" ht="12.75" customHeight="1">
      <c r="B207" s="26">
        <f t="shared" si="10"/>
        <v>199</v>
      </c>
      <c r="C207" s="31" t="s">
        <v>97</v>
      </c>
      <c r="D207" s="53"/>
      <c r="E207" s="53">
        <f>TRUNC(7.416/1+1.9)</f>
        <v>9</v>
      </c>
      <c r="F207" s="53">
        <v>5</v>
      </c>
      <c r="G207" s="53" t="s">
        <v>57</v>
      </c>
      <c r="H207" s="154">
        <f>(5.83-0.083)+0.5</f>
        <v>6.2469999999999999</v>
      </c>
      <c r="I207" s="55">
        <f t="shared" ref="I207:I270" si="11">IF(D207="",AK207*H207*E207,AK207*H207*E207*D207)</f>
        <v>58.640588999999991</v>
      </c>
      <c r="J207" s="59"/>
      <c r="K207" s="4"/>
      <c r="L207" s="4"/>
      <c r="M207" s="4"/>
      <c r="N207" s="4"/>
      <c r="O207" s="4"/>
      <c r="P207" s="4"/>
      <c r="Q207" s="4"/>
      <c r="AK207" s="44">
        <f t="shared" si="9"/>
        <v>1.0429999999999999</v>
      </c>
    </row>
    <row r="208" spans="2:37" ht="12.75" customHeight="1">
      <c r="B208" s="26">
        <f t="shared" si="10"/>
        <v>200</v>
      </c>
      <c r="C208" s="31" t="s">
        <v>442</v>
      </c>
      <c r="D208" s="53"/>
      <c r="E208" s="53">
        <f>TRUNC(7.75/0.83+1.9)</f>
        <v>11</v>
      </c>
      <c r="F208" s="53">
        <v>10</v>
      </c>
      <c r="G208" s="53" t="s">
        <v>57</v>
      </c>
      <c r="H208" s="154">
        <f>29.33+0.5+1</f>
        <v>30.83</v>
      </c>
      <c r="I208" s="55">
        <f t="shared" si="11"/>
        <v>1459.2763899999998</v>
      </c>
      <c r="J208" s="59"/>
      <c r="L208" s="4"/>
      <c r="M208" s="4"/>
      <c r="N208" s="4"/>
      <c r="O208" s="4"/>
      <c r="P208" s="4"/>
      <c r="Q208" s="4"/>
      <c r="AK208" s="44">
        <f t="shared" si="9"/>
        <v>4.3029999999999999</v>
      </c>
    </row>
    <row r="209" spans="2:37" ht="12.75" customHeight="1">
      <c r="B209" s="26">
        <f t="shared" si="10"/>
        <v>201</v>
      </c>
      <c r="C209" s="31" t="s">
        <v>97</v>
      </c>
      <c r="D209" s="53"/>
      <c r="E209" s="53">
        <f>TRUNC(7.416/1+1.9)</f>
        <v>9</v>
      </c>
      <c r="F209" s="53">
        <v>5</v>
      </c>
      <c r="G209" s="53" t="s">
        <v>57</v>
      </c>
      <c r="H209" s="154">
        <f>7.583+0.5*2</f>
        <v>8.5830000000000002</v>
      </c>
      <c r="I209" s="55">
        <f t="shared" si="11"/>
        <v>80.568620999999993</v>
      </c>
      <c r="J209" s="59"/>
      <c r="K209" s="4"/>
      <c r="L209" s="4"/>
      <c r="M209" s="4"/>
      <c r="N209" s="4"/>
      <c r="O209" s="4"/>
      <c r="P209" s="4"/>
      <c r="Q209" s="4"/>
      <c r="AK209" s="44">
        <f t="shared" si="9"/>
        <v>1.0429999999999999</v>
      </c>
    </row>
    <row r="210" spans="2:37" ht="12.75" customHeight="1">
      <c r="B210" s="26">
        <f t="shared" si="10"/>
        <v>202</v>
      </c>
      <c r="C210" s="31" t="s">
        <v>443</v>
      </c>
      <c r="D210" s="53"/>
      <c r="E210" s="53">
        <f>TRUNC(7.416/1+1.9)</f>
        <v>9</v>
      </c>
      <c r="F210" s="53">
        <v>6</v>
      </c>
      <c r="G210" s="53" t="s">
        <v>57</v>
      </c>
      <c r="H210" s="154">
        <f>21+0.5*2</f>
        <v>22</v>
      </c>
      <c r="I210" s="55">
        <f t="shared" si="11"/>
        <v>297.39599999999996</v>
      </c>
      <c r="J210" s="59"/>
      <c r="K210" s="4"/>
      <c r="L210" s="4"/>
      <c r="M210" s="4"/>
      <c r="N210" s="4"/>
      <c r="O210" s="4"/>
      <c r="P210" s="4"/>
      <c r="Q210" s="4"/>
      <c r="AK210" s="44">
        <f t="shared" si="9"/>
        <v>1.502</v>
      </c>
    </row>
    <row r="211" spans="2:37" ht="12.75" customHeight="1">
      <c r="B211" s="26">
        <f t="shared" si="10"/>
        <v>203</v>
      </c>
      <c r="C211" s="31" t="s">
        <v>439</v>
      </c>
      <c r="D211" s="53"/>
      <c r="E211" s="53">
        <f>TRUNC(7.416/1+1.9)</f>
        <v>9</v>
      </c>
      <c r="F211" s="53">
        <v>7</v>
      </c>
      <c r="G211" s="53" t="s">
        <v>57</v>
      </c>
      <c r="H211" s="154">
        <f>23.25+0.5-0.083</f>
        <v>23.667000000000002</v>
      </c>
      <c r="I211" s="55">
        <f t="shared" si="11"/>
        <v>435.37813200000005</v>
      </c>
      <c r="J211" s="59"/>
      <c r="K211" s="4"/>
      <c r="L211" s="4"/>
      <c r="M211" s="4"/>
      <c r="N211" s="4"/>
      <c r="O211" s="4"/>
      <c r="P211" s="4"/>
      <c r="Q211" s="4"/>
      <c r="AK211" s="44">
        <f t="shared" si="9"/>
        <v>2.044</v>
      </c>
    </row>
    <row r="212" spans="2:37" ht="12.75" customHeight="1">
      <c r="B212" s="26">
        <f t="shared" si="10"/>
        <v>204</v>
      </c>
      <c r="C212" s="28" t="s">
        <v>444</v>
      </c>
      <c r="D212" s="53"/>
      <c r="E212" s="53"/>
      <c r="F212" s="53"/>
      <c r="G212" s="53"/>
      <c r="H212" s="154"/>
      <c r="I212" s="55">
        <f t="shared" si="11"/>
        <v>0</v>
      </c>
      <c r="J212" s="59"/>
      <c r="K212" s="4"/>
      <c r="L212" s="4"/>
      <c r="M212" s="4"/>
      <c r="N212" s="4"/>
      <c r="O212" s="4"/>
      <c r="P212" s="4"/>
      <c r="Q212" s="4"/>
      <c r="AK212" s="44">
        <f t="shared" si="9"/>
        <v>0</v>
      </c>
    </row>
    <row r="213" spans="2:37" ht="12.75" customHeight="1">
      <c r="B213" s="26">
        <f t="shared" si="10"/>
        <v>205</v>
      </c>
      <c r="C213" s="31" t="s">
        <v>439</v>
      </c>
      <c r="D213" s="53"/>
      <c r="E213" s="53">
        <f>TRUNC(3/1+1.9)</f>
        <v>4</v>
      </c>
      <c r="F213" s="53">
        <v>7</v>
      </c>
      <c r="G213" s="53" t="s">
        <v>57</v>
      </c>
      <c r="H213" s="154">
        <f>(5.33-0.083)+1.17</f>
        <v>6.4169999999999998</v>
      </c>
      <c r="I213" s="55">
        <f t="shared" si="11"/>
        <v>52.465392000000001</v>
      </c>
      <c r="J213" s="59"/>
      <c r="K213" s="4"/>
      <c r="L213" s="4"/>
      <c r="M213" s="4"/>
      <c r="N213" s="4"/>
      <c r="O213" s="4"/>
      <c r="P213" s="4"/>
      <c r="Q213" s="4"/>
      <c r="AK213" s="44">
        <f t="shared" si="9"/>
        <v>2.044</v>
      </c>
    </row>
    <row r="214" spans="2:37" ht="12.75" customHeight="1">
      <c r="B214" s="26">
        <f t="shared" si="10"/>
        <v>206</v>
      </c>
      <c r="C214" s="31" t="s">
        <v>445</v>
      </c>
      <c r="D214" s="53"/>
      <c r="E214" s="53">
        <f>TRUNC(3/0.67+1.9)</f>
        <v>6</v>
      </c>
      <c r="F214" s="53">
        <v>9</v>
      </c>
      <c r="G214" s="53" t="s">
        <v>57</v>
      </c>
      <c r="H214" s="154">
        <f>29.33+1.75*2</f>
        <v>32.83</v>
      </c>
      <c r="I214" s="55">
        <f t="shared" si="11"/>
        <v>669.73199999999997</v>
      </c>
      <c r="J214" s="59"/>
      <c r="K214" s="4"/>
      <c r="L214" s="4"/>
      <c r="M214" s="4"/>
      <c r="N214" s="4"/>
      <c r="O214" s="4"/>
      <c r="P214" s="4"/>
      <c r="Q214" s="4"/>
      <c r="AK214" s="44">
        <f t="shared" si="9"/>
        <v>3.4</v>
      </c>
    </row>
    <row r="215" spans="2:37" ht="12.75" customHeight="1">
      <c r="B215" s="26">
        <f t="shared" si="10"/>
        <v>207</v>
      </c>
      <c r="C215" s="31" t="s">
        <v>443</v>
      </c>
      <c r="D215" s="53"/>
      <c r="E215" s="53">
        <f>TRUNC(3/1+1.9)</f>
        <v>4</v>
      </c>
      <c r="F215" s="53">
        <v>6</v>
      </c>
      <c r="G215" s="53" t="s">
        <v>57</v>
      </c>
      <c r="H215" s="154">
        <f>8.5+1*2</f>
        <v>10.5</v>
      </c>
      <c r="I215" s="55">
        <f t="shared" si="11"/>
        <v>63.084000000000003</v>
      </c>
      <c r="J215" s="59"/>
      <c r="K215" s="4"/>
      <c r="L215" s="4"/>
      <c r="M215" s="4"/>
      <c r="N215" s="4"/>
      <c r="O215" s="4"/>
      <c r="P215" s="4"/>
      <c r="Q215" s="4"/>
      <c r="AK215" s="44">
        <f t="shared" si="9"/>
        <v>1.502</v>
      </c>
    </row>
    <row r="216" spans="2:37" ht="12.75" customHeight="1">
      <c r="B216" s="26">
        <f t="shared" si="10"/>
        <v>208</v>
      </c>
      <c r="C216" s="31" t="s">
        <v>439</v>
      </c>
      <c r="D216" s="53"/>
      <c r="E216" s="53">
        <f>TRUNC(3/1+1.9)</f>
        <v>4</v>
      </c>
      <c r="F216" s="53">
        <v>7</v>
      </c>
      <c r="G216" s="53" t="s">
        <v>57</v>
      </c>
      <c r="H216" s="154">
        <f>(21.75-0.083)+1.16</f>
        <v>22.827000000000002</v>
      </c>
      <c r="I216" s="55">
        <f t="shared" si="11"/>
        <v>186.63355200000001</v>
      </c>
      <c r="J216" s="59"/>
      <c r="K216" s="4"/>
      <c r="M216" s="4"/>
      <c r="N216" s="4"/>
      <c r="O216" s="4"/>
      <c r="P216" s="4"/>
      <c r="Q216" s="4"/>
      <c r="AK216" s="44">
        <f t="shared" si="9"/>
        <v>2.044</v>
      </c>
    </row>
    <row r="217" spans="2:37" ht="12.75" customHeight="1">
      <c r="B217" s="26">
        <f t="shared" si="10"/>
        <v>209</v>
      </c>
      <c r="C217" s="31" t="s">
        <v>440</v>
      </c>
      <c r="D217" s="53"/>
      <c r="E217" s="53">
        <f>TRUNC(3/1+1.9)</f>
        <v>4</v>
      </c>
      <c r="F217" s="139">
        <v>8</v>
      </c>
      <c r="G217" s="53" t="s">
        <v>57</v>
      </c>
      <c r="H217" s="154">
        <f>23.25+1.416-0.083</f>
        <v>24.583000000000002</v>
      </c>
      <c r="I217" s="55">
        <f t="shared" si="11"/>
        <v>262.54644000000002</v>
      </c>
      <c r="J217" s="59"/>
      <c r="K217" s="4"/>
      <c r="L217" s="4"/>
      <c r="M217" s="4"/>
      <c r="N217" s="4"/>
      <c r="O217" s="4"/>
      <c r="P217" s="4"/>
      <c r="Q217" s="4"/>
      <c r="AK217" s="44">
        <f t="shared" si="9"/>
        <v>2.67</v>
      </c>
    </row>
    <row r="218" spans="2:37" ht="12.75" customHeight="1">
      <c r="B218" s="26">
        <f t="shared" si="10"/>
        <v>210</v>
      </c>
      <c r="C218" s="28" t="s">
        <v>446</v>
      </c>
      <c r="D218" s="53"/>
      <c r="E218" s="53"/>
      <c r="F218" s="53"/>
      <c r="G218" s="53"/>
      <c r="H218" s="154"/>
      <c r="I218" s="55">
        <f t="shared" si="11"/>
        <v>0</v>
      </c>
      <c r="J218" s="59"/>
      <c r="K218" s="4"/>
      <c r="L218" s="4"/>
      <c r="M218" s="4"/>
      <c r="N218" s="4"/>
      <c r="O218" s="4"/>
      <c r="P218" s="4"/>
      <c r="Q218" s="4"/>
      <c r="AK218" s="44">
        <f t="shared" si="9"/>
        <v>0</v>
      </c>
    </row>
    <row r="219" spans="2:37" ht="12.75" customHeight="1">
      <c r="B219" s="26">
        <f t="shared" si="10"/>
        <v>211</v>
      </c>
      <c r="C219" s="31" t="s">
        <v>439</v>
      </c>
      <c r="D219" s="53"/>
      <c r="E219" s="53">
        <f>TRUNC(7/1+1.9)</f>
        <v>8</v>
      </c>
      <c r="F219" s="53">
        <v>7</v>
      </c>
      <c r="G219" s="53" t="s">
        <v>57</v>
      </c>
      <c r="H219" s="154">
        <f>19.33-0.16</f>
        <v>19.169999999999998</v>
      </c>
      <c r="I219" s="55">
        <f t="shared" si="11"/>
        <v>313.46783999999997</v>
      </c>
      <c r="J219" s="59"/>
      <c r="L219" s="4"/>
      <c r="M219" s="4"/>
      <c r="N219" s="4"/>
      <c r="O219" s="4"/>
      <c r="P219" s="4"/>
      <c r="Q219" s="4"/>
      <c r="AK219" s="44">
        <f t="shared" si="9"/>
        <v>2.044</v>
      </c>
    </row>
    <row r="220" spans="2:37" ht="12.75" customHeight="1">
      <c r="B220" s="26">
        <f t="shared" si="10"/>
        <v>212</v>
      </c>
      <c r="C220" s="31" t="s">
        <v>445</v>
      </c>
      <c r="D220" s="53"/>
      <c r="E220" s="53">
        <f>TRUNC(7/0.67+1.9)</f>
        <v>12</v>
      </c>
      <c r="F220" s="53">
        <v>9</v>
      </c>
      <c r="G220" s="53" t="s">
        <v>57</v>
      </c>
      <c r="H220" s="154">
        <f>29.33+1.75*2</f>
        <v>32.83</v>
      </c>
      <c r="I220" s="55">
        <f t="shared" si="11"/>
        <v>1339.4639999999999</v>
      </c>
      <c r="J220" s="59"/>
      <c r="K220" s="4"/>
      <c r="L220" s="4"/>
      <c r="M220" s="4"/>
      <c r="N220" s="4"/>
      <c r="O220" s="4"/>
      <c r="P220" s="4"/>
      <c r="Q220" s="4"/>
      <c r="AK220" s="44">
        <f t="shared" si="9"/>
        <v>3.4</v>
      </c>
    </row>
    <row r="221" spans="2:37" ht="12.75" customHeight="1">
      <c r="B221" s="26">
        <f t="shared" si="10"/>
        <v>213</v>
      </c>
      <c r="C221" s="31" t="s">
        <v>443</v>
      </c>
      <c r="D221" s="53"/>
      <c r="E221" s="53">
        <f>TRUNC(7/1+1.9)</f>
        <v>8</v>
      </c>
      <c r="F221" s="53">
        <v>6</v>
      </c>
      <c r="G221" s="53" t="s">
        <v>57</v>
      </c>
      <c r="H221" s="154">
        <f>8.5+1*2</f>
        <v>10.5</v>
      </c>
      <c r="I221" s="55">
        <f t="shared" si="11"/>
        <v>126.16800000000001</v>
      </c>
      <c r="J221" s="59"/>
      <c r="K221" s="4"/>
      <c r="L221" s="4"/>
      <c r="M221" s="4"/>
      <c r="N221" s="4"/>
      <c r="O221" s="4"/>
      <c r="P221" s="4"/>
      <c r="Q221" s="4"/>
      <c r="AK221" s="44">
        <f t="shared" si="9"/>
        <v>1.502</v>
      </c>
    </row>
    <row r="222" spans="2:37" ht="12.75" customHeight="1">
      <c r="B222" s="26">
        <f t="shared" si="10"/>
        <v>214</v>
      </c>
      <c r="C222" s="31" t="s">
        <v>443</v>
      </c>
      <c r="D222" s="53"/>
      <c r="E222" s="53">
        <f>TRUNC(7/1+1.9)</f>
        <v>8</v>
      </c>
      <c r="F222" s="53">
        <v>6</v>
      </c>
      <c r="G222" s="53" t="s">
        <v>57</v>
      </c>
      <c r="H222" s="154">
        <f>(21.75-0.083)+1</f>
        <v>22.667000000000002</v>
      </c>
      <c r="I222" s="55">
        <f t="shared" si="11"/>
        <v>272.36667199999999</v>
      </c>
      <c r="J222" s="59"/>
      <c r="K222" s="4"/>
      <c r="L222" s="4"/>
      <c r="M222" s="4"/>
      <c r="N222" s="4"/>
      <c r="O222" s="4"/>
      <c r="P222" s="4"/>
      <c r="Q222" s="4"/>
      <c r="AK222" s="44">
        <f t="shared" si="9"/>
        <v>1.502</v>
      </c>
    </row>
    <row r="223" spans="2:37" ht="12.75" customHeight="1">
      <c r="B223" s="26">
        <f t="shared" si="10"/>
        <v>215</v>
      </c>
      <c r="C223" s="31" t="s">
        <v>445</v>
      </c>
      <c r="D223" s="53"/>
      <c r="E223" s="53">
        <f>TRUNC(7/0.67+1.9)</f>
        <v>12</v>
      </c>
      <c r="F223" s="139">
        <v>9</v>
      </c>
      <c r="G223" s="53" t="s">
        <v>57</v>
      </c>
      <c r="H223" s="154">
        <f>23.25+1.75-0.083</f>
        <v>24.917000000000002</v>
      </c>
      <c r="I223" s="55">
        <f t="shared" si="11"/>
        <v>1016.6135999999999</v>
      </c>
      <c r="J223" s="59"/>
      <c r="K223" s="4"/>
      <c r="L223" s="4"/>
      <c r="M223" s="4"/>
      <c r="N223" s="4"/>
      <c r="O223" s="4"/>
      <c r="P223" s="4"/>
      <c r="Q223" s="4"/>
      <c r="AK223" s="44">
        <f t="shared" si="9"/>
        <v>3.4</v>
      </c>
    </row>
    <row r="224" spans="2:37" ht="12.75" customHeight="1">
      <c r="B224" s="26">
        <f t="shared" si="10"/>
        <v>216</v>
      </c>
      <c r="C224" s="28" t="s">
        <v>447</v>
      </c>
      <c r="D224" s="53"/>
      <c r="E224" s="53"/>
      <c r="F224" s="53"/>
      <c r="G224" s="53"/>
      <c r="H224" s="154"/>
      <c r="I224" s="55">
        <f t="shared" si="11"/>
        <v>0</v>
      </c>
      <c r="J224" s="59"/>
      <c r="L224" s="4"/>
      <c r="M224" s="4"/>
      <c r="N224" s="4"/>
      <c r="O224" s="4"/>
      <c r="P224" s="4"/>
      <c r="Q224" s="4"/>
      <c r="AK224" s="44">
        <f t="shared" si="9"/>
        <v>0</v>
      </c>
    </row>
    <row r="225" spans="2:37" ht="12.75" customHeight="1">
      <c r="B225" s="26">
        <f t="shared" si="10"/>
        <v>217</v>
      </c>
      <c r="C225" s="31" t="s">
        <v>448</v>
      </c>
      <c r="D225" s="53"/>
      <c r="E225" s="53">
        <f>TRUNC(13.5/0.83+1.9)</f>
        <v>18</v>
      </c>
      <c r="F225" s="53">
        <v>5</v>
      </c>
      <c r="G225" s="53" t="s">
        <v>57</v>
      </c>
      <c r="H225" s="154">
        <f>(19.17-0.083)</f>
        <v>19.087000000000003</v>
      </c>
      <c r="I225" s="55">
        <f t="shared" si="11"/>
        <v>358.339338</v>
      </c>
      <c r="J225" s="59"/>
      <c r="K225" s="4"/>
      <c r="L225" s="4"/>
      <c r="M225" s="4"/>
      <c r="N225" s="4"/>
      <c r="O225" s="4"/>
      <c r="P225" s="4"/>
      <c r="Q225" s="4"/>
      <c r="AK225" s="44">
        <f t="shared" si="9"/>
        <v>1.0429999999999999</v>
      </c>
    </row>
    <row r="226" spans="2:37" ht="12.75" customHeight="1">
      <c r="B226" s="26">
        <f t="shared" si="10"/>
        <v>218</v>
      </c>
      <c r="C226" s="31" t="s">
        <v>439</v>
      </c>
      <c r="D226" s="53"/>
      <c r="E226" s="53">
        <f>TRUNC(13.5/1+1.9)</f>
        <v>15</v>
      </c>
      <c r="F226" s="53">
        <v>7</v>
      </c>
      <c r="G226" s="53" t="s">
        <v>57</v>
      </c>
      <c r="H226" s="154">
        <f>31.5</f>
        <v>31.5</v>
      </c>
      <c r="I226" s="55">
        <f t="shared" si="11"/>
        <v>965.79</v>
      </c>
      <c r="J226" s="59"/>
      <c r="K226" s="4"/>
      <c r="L226" s="4"/>
      <c r="M226" s="4"/>
      <c r="N226" s="4"/>
      <c r="O226" s="4"/>
      <c r="P226" s="4"/>
      <c r="Q226" s="4"/>
      <c r="AK226" s="44">
        <f t="shared" si="9"/>
        <v>2.044</v>
      </c>
    </row>
    <row r="227" spans="2:37" ht="12.75" customHeight="1">
      <c r="B227" s="26">
        <f t="shared" si="10"/>
        <v>219</v>
      </c>
      <c r="C227" s="31" t="s">
        <v>97</v>
      </c>
      <c r="D227" s="53"/>
      <c r="E227" s="53">
        <f>TRUNC(13.5/1+1.9)</f>
        <v>15</v>
      </c>
      <c r="F227" s="53">
        <v>5</v>
      </c>
      <c r="G227" s="53" t="s">
        <v>57</v>
      </c>
      <c r="H227" s="154">
        <f>18.25</f>
        <v>18.25</v>
      </c>
      <c r="I227" s="55">
        <f t="shared" si="11"/>
        <v>285.52125000000001</v>
      </c>
      <c r="J227" s="59"/>
      <c r="K227" s="4"/>
      <c r="L227" s="4"/>
      <c r="M227" s="4"/>
      <c r="N227" s="4"/>
      <c r="O227" s="4"/>
      <c r="P227" s="4"/>
      <c r="Q227" s="4"/>
      <c r="AK227" s="44">
        <f t="shared" si="9"/>
        <v>1.0429999999999999</v>
      </c>
    </row>
    <row r="228" spans="2:37" ht="12.75" customHeight="1">
      <c r="B228" s="26">
        <f t="shared" si="10"/>
        <v>220</v>
      </c>
      <c r="C228" s="31" t="s">
        <v>97</v>
      </c>
      <c r="D228" s="53"/>
      <c r="E228" s="53">
        <f>TRUNC(13.5/1+1.9)</f>
        <v>15</v>
      </c>
      <c r="F228" s="53">
        <v>5</v>
      </c>
      <c r="G228" s="53" t="s">
        <v>57</v>
      </c>
      <c r="H228" s="154">
        <f>20.5</f>
        <v>20.5</v>
      </c>
      <c r="I228" s="55">
        <f t="shared" si="11"/>
        <v>320.72249999999997</v>
      </c>
      <c r="J228" s="59"/>
      <c r="K228" s="4"/>
      <c r="L228" s="4"/>
      <c r="M228" s="4"/>
      <c r="N228" s="4"/>
      <c r="O228" s="4"/>
      <c r="P228" s="4"/>
      <c r="Q228" s="4"/>
      <c r="AK228" s="44">
        <f t="shared" si="9"/>
        <v>1.0429999999999999</v>
      </c>
    </row>
    <row r="229" spans="2:37" ht="12.75" customHeight="1">
      <c r="B229" s="26">
        <f t="shared" si="10"/>
        <v>221</v>
      </c>
      <c r="C229" s="31" t="s">
        <v>449</v>
      </c>
      <c r="D229" s="53"/>
      <c r="E229" s="53">
        <f>TRUNC(13.5/0.83+1.9)</f>
        <v>18</v>
      </c>
      <c r="F229" s="53">
        <v>6</v>
      </c>
      <c r="G229" s="53" t="s">
        <v>57</v>
      </c>
      <c r="H229" s="154">
        <f>23.75+0.5-0.083</f>
        <v>24.167000000000002</v>
      </c>
      <c r="I229" s="55">
        <f t="shared" si="11"/>
        <v>653.37901199999999</v>
      </c>
      <c r="J229" s="59"/>
      <c r="K229" s="4"/>
      <c r="L229" s="4"/>
      <c r="M229" s="4"/>
      <c r="N229" s="4"/>
      <c r="O229" s="4"/>
      <c r="P229" s="4"/>
      <c r="Q229" s="4"/>
      <c r="AK229" s="44">
        <f t="shared" si="9"/>
        <v>1.502</v>
      </c>
    </row>
    <row r="230" spans="2:37" ht="12.75" customHeight="1">
      <c r="B230" s="26">
        <f t="shared" si="10"/>
        <v>222</v>
      </c>
      <c r="C230" s="28" t="s">
        <v>450</v>
      </c>
      <c r="D230" s="53"/>
      <c r="E230" s="53"/>
      <c r="F230" s="53"/>
      <c r="G230" s="53"/>
      <c r="H230" s="154"/>
      <c r="I230" s="55">
        <f t="shared" si="11"/>
        <v>0</v>
      </c>
      <c r="J230" s="59"/>
      <c r="K230" s="4"/>
      <c r="L230" s="4"/>
      <c r="M230" s="4"/>
      <c r="N230" s="4"/>
      <c r="O230" s="4"/>
      <c r="P230" s="4"/>
      <c r="Q230" s="4"/>
      <c r="AK230" s="44">
        <f t="shared" si="9"/>
        <v>0</v>
      </c>
    </row>
    <row r="231" spans="2:37" ht="12.75" customHeight="1">
      <c r="B231" s="26">
        <f t="shared" si="10"/>
        <v>223</v>
      </c>
      <c r="C231" s="31" t="s">
        <v>449</v>
      </c>
      <c r="D231" s="53"/>
      <c r="E231" s="53">
        <f>TRUNC(13.583/0.83+1.9)</f>
        <v>18</v>
      </c>
      <c r="F231" s="53">
        <v>6</v>
      </c>
      <c r="G231" s="53" t="s">
        <v>57</v>
      </c>
      <c r="H231" s="154">
        <f>19.33+1-0.16</f>
        <v>20.169999999999998</v>
      </c>
      <c r="I231" s="55">
        <f t="shared" si="11"/>
        <v>545.31611999999996</v>
      </c>
      <c r="J231" s="59"/>
      <c r="K231" s="4"/>
      <c r="L231" s="4"/>
      <c r="M231" s="4"/>
      <c r="N231" s="4"/>
      <c r="O231" s="4"/>
      <c r="P231" s="4"/>
      <c r="Q231" s="4"/>
      <c r="AK231" s="44">
        <f t="shared" si="9"/>
        <v>1.502</v>
      </c>
    </row>
    <row r="232" spans="2:37" ht="12.75" customHeight="1">
      <c r="B232" s="26">
        <f t="shared" si="10"/>
        <v>224</v>
      </c>
      <c r="C232" s="31" t="s">
        <v>440</v>
      </c>
      <c r="D232" s="53"/>
      <c r="E232" s="53">
        <f>TRUNC(13.583/1+1.9)</f>
        <v>15</v>
      </c>
      <c r="F232" s="53">
        <v>8</v>
      </c>
      <c r="G232" s="53" t="s">
        <v>57</v>
      </c>
      <c r="H232" s="154">
        <f>29.5+1.416*2</f>
        <v>32.332000000000001</v>
      </c>
      <c r="I232" s="55">
        <f t="shared" si="11"/>
        <v>1294.8966</v>
      </c>
      <c r="J232" s="59"/>
      <c r="K232" s="4"/>
      <c r="M232" s="4"/>
      <c r="N232" s="4"/>
      <c r="O232" s="4"/>
      <c r="P232" s="4"/>
      <c r="Q232" s="4"/>
      <c r="AK232" s="44">
        <f t="shared" si="9"/>
        <v>2.67</v>
      </c>
    </row>
    <row r="233" spans="2:37" ht="12.75" customHeight="1">
      <c r="B233" s="26">
        <f t="shared" si="10"/>
        <v>225</v>
      </c>
      <c r="C233" s="31" t="s">
        <v>443</v>
      </c>
      <c r="D233" s="53"/>
      <c r="E233" s="53">
        <f>TRUNC(13.583/1+1.9)</f>
        <v>15</v>
      </c>
      <c r="F233" s="53">
        <v>6</v>
      </c>
      <c r="G233" s="53" t="s">
        <v>57</v>
      </c>
      <c r="H233" s="154">
        <f>17.583+1*2</f>
        <v>19.582999999999998</v>
      </c>
      <c r="I233" s="55">
        <f t="shared" si="11"/>
        <v>441.20499000000001</v>
      </c>
      <c r="J233" s="59"/>
      <c r="K233" s="4"/>
      <c r="L233" s="4"/>
      <c r="M233" s="4"/>
      <c r="N233" s="4"/>
      <c r="O233" s="4"/>
      <c r="P233" s="4"/>
      <c r="Q233" s="4"/>
      <c r="AK233" s="44">
        <f t="shared" si="9"/>
        <v>1.502</v>
      </c>
    </row>
    <row r="234" spans="2:37" ht="12.75" customHeight="1">
      <c r="B234" s="26">
        <f t="shared" si="10"/>
        <v>226</v>
      </c>
      <c r="C234" s="31" t="s">
        <v>443</v>
      </c>
      <c r="D234" s="53"/>
      <c r="E234" s="53">
        <f>TRUNC(13.583/1+1.9)</f>
        <v>15</v>
      </c>
      <c r="F234" s="53">
        <v>6</v>
      </c>
      <c r="G234" s="53" t="s">
        <v>57</v>
      </c>
      <c r="H234" s="154">
        <f>19.75+1*2</f>
        <v>21.75</v>
      </c>
      <c r="I234" s="55">
        <f t="shared" si="11"/>
        <v>490.02750000000003</v>
      </c>
      <c r="J234" s="59"/>
      <c r="K234" s="4"/>
      <c r="L234" s="4"/>
      <c r="M234" s="4"/>
      <c r="N234" s="4"/>
      <c r="O234" s="4"/>
      <c r="P234" s="4"/>
      <c r="Q234" s="4"/>
      <c r="AK234" s="44">
        <f t="shared" si="9"/>
        <v>1.502</v>
      </c>
    </row>
    <row r="235" spans="2:37" ht="12.75" customHeight="1">
      <c r="B235" s="26">
        <f t="shared" si="10"/>
        <v>227</v>
      </c>
      <c r="C235" s="31" t="s">
        <v>451</v>
      </c>
      <c r="D235" s="53"/>
      <c r="E235" s="53">
        <f>TRUNC(13.583/0.83+1.9)</f>
        <v>18</v>
      </c>
      <c r="F235" s="139">
        <v>8</v>
      </c>
      <c r="G235" s="53" t="s">
        <v>57</v>
      </c>
      <c r="H235" s="154">
        <f>23.25+1.416-0.083</f>
        <v>24.583000000000002</v>
      </c>
      <c r="I235" s="55">
        <f t="shared" si="11"/>
        <v>1181.4589800000001</v>
      </c>
      <c r="J235" s="59"/>
      <c r="L235" s="4"/>
      <c r="M235" s="4"/>
      <c r="N235" s="4"/>
      <c r="O235" s="4"/>
      <c r="P235" s="4"/>
      <c r="Q235" s="4"/>
      <c r="AK235" s="44">
        <f t="shared" si="9"/>
        <v>2.67</v>
      </c>
    </row>
    <row r="236" spans="2:37" ht="12.75" customHeight="1">
      <c r="B236" s="26">
        <f t="shared" si="10"/>
        <v>228</v>
      </c>
      <c r="C236" s="28" t="s">
        <v>452</v>
      </c>
      <c r="D236" s="53"/>
      <c r="E236" s="53"/>
      <c r="F236" s="53"/>
      <c r="G236" s="53"/>
      <c r="H236" s="154"/>
      <c r="I236" s="55">
        <f t="shared" si="11"/>
        <v>0</v>
      </c>
      <c r="J236" s="59"/>
      <c r="K236" s="4"/>
      <c r="L236" s="4"/>
      <c r="M236" s="4"/>
      <c r="N236" s="4"/>
      <c r="O236" s="4"/>
      <c r="P236" s="4"/>
      <c r="Q236" s="4"/>
      <c r="AK236" s="44">
        <f t="shared" si="9"/>
        <v>0</v>
      </c>
    </row>
    <row r="237" spans="2:37" ht="12.75" customHeight="1">
      <c r="B237" s="26">
        <f t="shared" si="10"/>
        <v>229</v>
      </c>
      <c r="C237" s="31" t="s">
        <v>448</v>
      </c>
      <c r="D237" s="53"/>
      <c r="E237" s="53">
        <f>TRUNC(13.25/0.83+1.9)</f>
        <v>17</v>
      </c>
      <c r="F237" s="53">
        <v>5</v>
      </c>
      <c r="G237" s="53" t="s">
        <v>57</v>
      </c>
      <c r="H237" s="154">
        <f>(19.17-0.083)</f>
        <v>19.087000000000003</v>
      </c>
      <c r="I237" s="55">
        <f t="shared" si="11"/>
        <v>338.43159700000001</v>
      </c>
      <c r="J237" s="59"/>
      <c r="K237" s="4"/>
      <c r="L237" s="4"/>
      <c r="M237" s="4"/>
      <c r="N237" s="4"/>
      <c r="O237" s="4"/>
      <c r="P237" s="4"/>
      <c r="Q237" s="4"/>
      <c r="AK237" s="44">
        <f t="shared" si="9"/>
        <v>1.0429999999999999</v>
      </c>
    </row>
    <row r="238" spans="2:37" ht="12.75" customHeight="1">
      <c r="B238" s="26">
        <f t="shared" si="10"/>
        <v>230</v>
      </c>
      <c r="C238" s="31" t="s">
        <v>439</v>
      </c>
      <c r="D238" s="53"/>
      <c r="E238" s="53">
        <f>TRUNC(13.25/1+1.9)</f>
        <v>15</v>
      </c>
      <c r="F238" s="53">
        <v>7</v>
      </c>
      <c r="G238" s="53" t="s">
        <v>57</v>
      </c>
      <c r="H238" s="154">
        <f>31.5</f>
        <v>31.5</v>
      </c>
      <c r="I238" s="55">
        <f t="shared" si="11"/>
        <v>965.79</v>
      </c>
      <c r="J238" s="59"/>
      <c r="L238" s="4"/>
      <c r="M238" s="4"/>
      <c r="N238" s="4"/>
      <c r="O238" s="4"/>
      <c r="P238" s="4"/>
      <c r="Q238" s="4"/>
      <c r="AK238" s="44">
        <f t="shared" si="9"/>
        <v>2.044</v>
      </c>
    </row>
    <row r="239" spans="2:37" ht="12.75" customHeight="1">
      <c r="B239" s="26">
        <f t="shared" si="10"/>
        <v>231</v>
      </c>
      <c r="C239" s="31" t="s">
        <v>97</v>
      </c>
      <c r="D239" s="53"/>
      <c r="E239" s="53">
        <f>TRUNC(13.25/1+1.9)</f>
        <v>15</v>
      </c>
      <c r="F239" s="53">
        <v>5</v>
      </c>
      <c r="G239" s="53" t="s">
        <v>57</v>
      </c>
      <c r="H239" s="154">
        <f>18.25</f>
        <v>18.25</v>
      </c>
      <c r="I239" s="55">
        <f t="shared" si="11"/>
        <v>285.52125000000001</v>
      </c>
      <c r="J239" s="59"/>
      <c r="K239" s="4"/>
      <c r="L239" s="4"/>
      <c r="M239" s="4"/>
      <c r="N239" s="4"/>
      <c r="O239" s="4"/>
      <c r="P239" s="4"/>
      <c r="Q239" s="4"/>
      <c r="AK239" s="44">
        <f t="shared" si="9"/>
        <v>1.0429999999999999</v>
      </c>
    </row>
    <row r="240" spans="2:37" ht="12.75" customHeight="1">
      <c r="B240" s="26">
        <f t="shared" si="10"/>
        <v>232</v>
      </c>
      <c r="C240" s="31" t="s">
        <v>97</v>
      </c>
      <c r="D240" s="53"/>
      <c r="E240" s="53">
        <f>TRUNC(13.25/1+1.9)</f>
        <v>15</v>
      </c>
      <c r="F240" s="53">
        <v>5</v>
      </c>
      <c r="G240" s="53" t="s">
        <v>57</v>
      </c>
      <c r="H240" s="154">
        <f>20.5</f>
        <v>20.5</v>
      </c>
      <c r="I240" s="55">
        <f t="shared" si="11"/>
        <v>320.72249999999997</v>
      </c>
      <c r="J240" s="59"/>
      <c r="K240" s="4"/>
      <c r="L240" s="4"/>
      <c r="M240" s="4"/>
      <c r="N240" s="4"/>
      <c r="O240" s="4"/>
      <c r="P240" s="4"/>
      <c r="Q240" s="4"/>
      <c r="AK240" s="44">
        <f t="shared" si="9"/>
        <v>1.0429999999999999</v>
      </c>
    </row>
    <row r="241" spans="2:37" ht="12.75" customHeight="1">
      <c r="B241" s="26">
        <f t="shared" si="10"/>
        <v>233</v>
      </c>
      <c r="C241" s="31" t="s">
        <v>449</v>
      </c>
      <c r="D241" s="53"/>
      <c r="E241" s="53">
        <f>TRUNC(13.25/0.83+1.9)</f>
        <v>17</v>
      </c>
      <c r="F241" s="53">
        <v>6</v>
      </c>
      <c r="G241" s="53" t="s">
        <v>57</v>
      </c>
      <c r="H241" s="154">
        <f>23.75+0.5-0.083</f>
        <v>24.167000000000002</v>
      </c>
      <c r="I241" s="55">
        <f t="shared" si="11"/>
        <v>617.08017799999993</v>
      </c>
      <c r="J241" s="59"/>
      <c r="K241" s="4"/>
      <c r="L241" s="4"/>
      <c r="M241" s="4"/>
      <c r="N241" s="4"/>
      <c r="O241" s="4"/>
      <c r="P241" s="4"/>
      <c r="Q241" s="4"/>
      <c r="AK241" s="44">
        <f t="shared" si="9"/>
        <v>1.502</v>
      </c>
    </row>
    <row r="242" spans="2:37" ht="12.75" customHeight="1">
      <c r="B242" s="26">
        <f t="shared" si="10"/>
        <v>234</v>
      </c>
      <c r="C242" s="28" t="s">
        <v>453</v>
      </c>
      <c r="D242" s="53"/>
      <c r="E242" s="53"/>
      <c r="F242" s="53"/>
      <c r="G242" s="53"/>
      <c r="H242" s="154"/>
      <c r="I242" s="55">
        <f t="shared" si="11"/>
        <v>0</v>
      </c>
      <c r="J242" s="59"/>
      <c r="K242" s="4"/>
      <c r="L242" s="4"/>
      <c r="M242" s="4"/>
      <c r="N242" s="4"/>
      <c r="O242" s="4"/>
      <c r="P242" s="4"/>
      <c r="Q242" s="4"/>
      <c r="AK242" s="44">
        <f t="shared" si="9"/>
        <v>0</v>
      </c>
    </row>
    <row r="243" spans="2:37" ht="12.75" customHeight="1">
      <c r="B243" s="26">
        <f t="shared" si="10"/>
        <v>235</v>
      </c>
      <c r="C243" s="31" t="s">
        <v>449</v>
      </c>
      <c r="D243" s="53"/>
      <c r="E243" s="53">
        <f>TRUNC(13.583/0.83+1.9)</f>
        <v>18</v>
      </c>
      <c r="F243" s="53">
        <v>6</v>
      </c>
      <c r="G243" s="53" t="s">
        <v>57</v>
      </c>
      <c r="H243" s="154">
        <f>19.33+1-0.16</f>
        <v>20.169999999999998</v>
      </c>
      <c r="I243" s="55">
        <f t="shared" si="11"/>
        <v>545.31611999999996</v>
      </c>
      <c r="J243" s="59"/>
      <c r="K243" s="4"/>
      <c r="M243" s="4"/>
      <c r="N243" s="4"/>
      <c r="O243" s="4"/>
      <c r="P243" s="4"/>
      <c r="Q243" s="4"/>
      <c r="AK243" s="44">
        <f t="shared" si="9"/>
        <v>1.502</v>
      </c>
    </row>
    <row r="244" spans="2:37" ht="12.75" customHeight="1">
      <c r="B244" s="26">
        <f t="shared" si="10"/>
        <v>236</v>
      </c>
      <c r="C244" s="31" t="s">
        <v>440</v>
      </c>
      <c r="D244" s="53"/>
      <c r="E244" s="53">
        <f>TRUNC(13.583/1+1.9)</f>
        <v>15</v>
      </c>
      <c r="F244" s="53">
        <v>8</v>
      </c>
      <c r="G244" s="53" t="s">
        <v>57</v>
      </c>
      <c r="H244" s="154">
        <f>29.5+1.416*2</f>
        <v>32.332000000000001</v>
      </c>
      <c r="I244" s="55">
        <f t="shared" si="11"/>
        <v>1294.8966</v>
      </c>
      <c r="J244" s="59"/>
      <c r="K244" s="4"/>
      <c r="L244" s="4"/>
      <c r="M244" s="4"/>
      <c r="N244" s="4"/>
      <c r="O244" s="4"/>
      <c r="P244" s="4"/>
      <c r="Q244" s="4"/>
      <c r="AK244" s="44">
        <f t="shared" si="9"/>
        <v>2.67</v>
      </c>
    </row>
    <row r="245" spans="2:37" ht="12.75" customHeight="1">
      <c r="B245" s="26">
        <f t="shared" si="10"/>
        <v>237</v>
      </c>
      <c r="C245" s="31" t="s">
        <v>443</v>
      </c>
      <c r="D245" s="53"/>
      <c r="E245" s="53">
        <f>TRUNC(13.583/1+1.9)</f>
        <v>15</v>
      </c>
      <c r="F245" s="53">
        <v>6</v>
      </c>
      <c r="G245" s="53" t="s">
        <v>57</v>
      </c>
      <c r="H245" s="154">
        <f>17.583+1*2</f>
        <v>19.582999999999998</v>
      </c>
      <c r="I245" s="55">
        <f t="shared" si="11"/>
        <v>441.20499000000001</v>
      </c>
      <c r="J245" s="59"/>
      <c r="K245" s="4"/>
      <c r="L245" s="4"/>
      <c r="M245" s="4"/>
      <c r="N245" s="4"/>
      <c r="O245" s="4"/>
      <c r="P245" s="4"/>
      <c r="Q245" s="4"/>
      <c r="AK245" s="44">
        <f t="shared" si="9"/>
        <v>1.502</v>
      </c>
    </row>
    <row r="246" spans="2:37" ht="12.75" customHeight="1">
      <c r="B246" s="26">
        <f t="shared" si="10"/>
        <v>238</v>
      </c>
      <c r="C246" s="31" t="s">
        <v>443</v>
      </c>
      <c r="D246" s="53"/>
      <c r="E246" s="53">
        <f>TRUNC(13.583/1+1.9)</f>
        <v>15</v>
      </c>
      <c r="F246" s="53">
        <v>6</v>
      </c>
      <c r="G246" s="53" t="s">
        <v>57</v>
      </c>
      <c r="H246" s="154">
        <f>19.75+1*2</f>
        <v>21.75</v>
      </c>
      <c r="I246" s="55">
        <f t="shared" si="11"/>
        <v>490.02750000000003</v>
      </c>
      <c r="J246" s="59"/>
      <c r="L246" s="4"/>
      <c r="M246" s="4"/>
      <c r="N246" s="4"/>
      <c r="O246" s="4"/>
      <c r="P246" s="4"/>
      <c r="Q246" s="4"/>
      <c r="AK246" s="44">
        <f t="shared" si="9"/>
        <v>1.502</v>
      </c>
    </row>
    <row r="247" spans="2:37" ht="12.75" customHeight="1">
      <c r="B247" s="26">
        <f t="shared" si="10"/>
        <v>239</v>
      </c>
      <c r="C247" s="31" t="s">
        <v>451</v>
      </c>
      <c r="D247" s="53"/>
      <c r="E247" s="53">
        <f>TRUNC(13.583/0.83+1.9)</f>
        <v>18</v>
      </c>
      <c r="F247" s="139">
        <v>8</v>
      </c>
      <c r="G247" s="53" t="s">
        <v>57</v>
      </c>
      <c r="H247" s="154">
        <f>23.25+1.416-0.083</f>
        <v>24.583000000000002</v>
      </c>
      <c r="I247" s="55">
        <f t="shared" si="11"/>
        <v>1181.4589800000001</v>
      </c>
      <c r="J247" s="59"/>
      <c r="K247" s="4"/>
      <c r="L247" s="4"/>
      <c r="M247" s="4"/>
      <c r="N247" s="4"/>
      <c r="O247" s="4"/>
      <c r="P247" s="4"/>
      <c r="Q247" s="4"/>
      <c r="AK247" s="44">
        <f t="shared" si="9"/>
        <v>2.67</v>
      </c>
    </row>
    <row r="248" spans="2:37" ht="12.75" customHeight="1">
      <c r="B248" s="26">
        <f t="shared" si="10"/>
        <v>240</v>
      </c>
      <c r="C248" s="28" t="s">
        <v>454</v>
      </c>
      <c r="D248" s="53"/>
      <c r="E248" s="53"/>
      <c r="F248" s="53"/>
      <c r="G248" s="53"/>
      <c r="H248" s="154"/>
      <c r="I248" s="55">
        <f t="shared" si="11"/>
        <v>0</v>
      </c>
      <c r="J248" s="59"/>
      <c r="K248" s="4"/>
      <c r="L248" s="4"/>
      <c r="M248" s="4"/>
      <c r="N248" s="4"/>
      <c r="O248" s="4"/>
      <c r="P248" s="4"/>
      <c r="Q248" s="4"/>
      <c r="AK248" s="44">
        <f t="shared" si="9"/>
        <v>0</v>
      </c>
    </row>
    <row r="249" spans="2:37" ht="12.75" customHeight="1">
      <c r="B249" s="26">
        <f t="shared" si="10"/>
        <v>241</v>
      </c>
      <c r="C249" s="31" t="s">
        <v>448</v>
      </c>
      <c r="D249" s="53"/>
      <c r="E249" s="53">
        <f>TRUNC(13.5/0.83+1.9)</f>
        <v>18</v>
      </c>
      <c r="F249" s="53">
        <v>5</v>
      </c>
      <c r="G249" s="53" t="s">
        <v>57</v>
      </c>
      <c r="H249" s="154">
        <f>(19.17-0.083)</f>
        <v>19.087000000000003</v>
      </c>
      <c r="I249" s="55">
        <f t="shared" si="11"/>
        <v>358.339338</v>
      </c>
      <c r="J249" s="59"/>
      <c r="K249" s="4"/>
      <c r="L249" s="4"/>
      <c r="M249" s="4"/>
      <c r="N249" s="4"/>
      <c r="O249" s="4"/>
      <c r="P249" s="4"/>
      <c r="Q249" s="4"/>
      <c r="AK249" s="44">
        <f t="shared" si="9"/>
        <v>1.0429999999999999</v>
      </c>
    </row>
    <row r="250" spans="2:37" ht="12.75" customHeight="1">
      <c r="B250" s="26">
        <f t="shared" si="10"/>
        <v>242</v>
      </c>
      <c r="C250" s="31" t="s">
        <v>439</v>
      </c>
      <c r="D250" s="53"/>
      <c r="E250" s="53">
        <f>TRUNC(13.5/1+1.9)</f>
        <v>15</v>
      </c>
      <c r="F250" s="53">
        <v>7</v>
      </c>
      <c r="G250" s="53" t="s">
        <v>57</v>
      </c>
      <c r="H250" s="154">
        <f>31.5</f>
        <v>31.5</v>
      </c>
      <c r="I250" s="55">
        <f t="shared" si="11"/>
        <v>965.79</v>
      </c>
      <c r="J250" s="59"/>
      <c r="K250" s="4"/>
      <c r="L250" s="4"/>
      <c r="M250" s="4"/>
      <c r="N250" s="4"/>
      <c r="O250" s="4"/>
      <c r="P250" s="4"/>
      <c r="Q250" s="4"/>
      <c r="AK250" s="44">
        <f t="shared" si="9"/>
        <v>2.044</v>
      </c>
    </row>
    <row r="251" spans="2:37" ht="12.75" customHeight="1">
      <c r="B251" s="26">
        <f t="shared" si="10"/>
        <v>243</v>
      </c>
      <c r="C251" s="31" t="s">
        <v>97</v>
      </c>
      <c r="D251" s="53"/>
      <c r="E251" s="53">
        <f>TRUNC(13.5/1+1.9)</f>
        <v>15</v>
      </c>
      <c r="F251" s="53">
        <v>5</v>
      </c>
      <c r="G251" s="53" t="s">
        <v>57</v>
      </c>
      <c r="H251" s="154">
        <f>18.25</f>
        <v>18.25</v>
      </c>
      <c r="I251" s="55">
        <f t="shared" si="11"/>
        <v>285.52125000000001</v>
      </c>
      <c r="J251" s="59"/>
      <c r="L251" s="4"/>
      <c r="M251" s="4"/>
      <c r="N251" s="4"/>
      <c r="O251" s="4"/>
      <c r="P251" s="4"/>
      <c r="Q251" s="4"/>
      <c r="AK251" s="44">
        <f t="shared" si="9"/>
        <v>1.0429999999999999</v>
      </c>
    </row>
    <row r="252" spans="2:37" ht="12.75" customHeight="1">
      <c r="B252" s="26">
        <f t="shared" si="10"/>
        <v>244</v>
      </c>
      <c r="C252" s="31" t="s">
        <v>97</v>
      </c>
      <c r="D252" s="53"/>
      <c r="E252" s="53">
        <f>TRUNC(13.5/1+1.9)</f>
        <v>15</v>
      </c>
      <c r="F252" s="53">
        <v>5</v>
      </c>
      <c r="G252" s="53" t="s">
        <v>57</v>
      </c>
      <c r="H252" s="154">
        <f>20.5</f>
        <v>20.5</v>
      </c>
      <c r="I252" s="55">
        <f t="shared" si="11"/>
        <v>320.72249999999997</v>
      </c>
      <c r="J252" s="59"/>
      <c r="K252" s="4"/>
      <c r="L252" s="4"/>
      <c r="M252" s="4"/>
      <c r="N252" s="4"/>
      <c r="O252" s="4"/>
      <c r="P252" s="4"/>
      <c r="Q252" s="4"/>
      <c r="AK252" s="44">
        <f t="shared" si="9"/>
        <v>1.0429999999999999</v>
      </c>
    </row>
    <row r="253" spans="2:37" ht="12.75" customHeight="1">
      <c r="B253" s="26">
        <f t="shared" si="10"/>
        <v>245</v>
      </c>
      <c r="C253" s="31" t="s">
        <v>449</v>
      </c>
      <c r="D253" s="53"/>
      <c r="E253" s="53">
        <f>TRUNC(13.5/0.83+1.9)</f>
        <v>18</v>
      </c>
      <c r="F253" s="53">
        <v>6</v>
      </c>
      <c r="G253" s="53" t="s">
        <v>57</v>
      </c>
      <c r="H253" s="154">
        <f>23.75+0.5-0.083</f>
        <v>24.167000000000002</v>
      </c>
      <c r="I253" s="55">
        <f t="shared" si="11"/>
        <v>653.37901199999999</v>
      </c>
      <c r="J253" s="59"/>
      <c r="K253" s="4"/>
      <c r="L253" s="4"/>
      <c r="M253" s="4"/>
      <c r="N253" s="4"/>
      <c r="O253" s="4"/>
      <c r="P253" s="4"/>
      <c r="Q253" s="4"/>
      <c r="AK253" s="44">
        <f t="shared" si="9"/>
        <v>1.502</v>
      </c>
    </row>
    <row r="254" spans="2:37" ht="12.75" customHeight="1">
      <c r="B254" s="26">
        <f t="shared" si="10"/>
        <v>246</v>
      </c>
      <c r="C254" s="28" t="s">
        <v>455</v>
      </c>
      <c r="D254" s="53"/>
      <c r="E254" s="53"/>
      <c r="F254" s="53"/>
      <c r="G254" s="53"/>
      <c r="H254" s="154"/>
      <c r="I254" s="55">
        <f t="shared" si="11"/>
        <v>0</v>
      </c>
      <c r="J254" s="59"/>
      <c r="K254" s="4"/>
      <c r="L254" s="4"/>
      <c r="M254" s="4"/>
      <c r="N254" s="4"/>
      <c r="O254" s="4"/>
      <c r="P254" s="4"/>
      <c r="Q254" s="4"/>
      <c r="AK254" s="44">
        <f t="shared" si="9"/>
        <v>0</v>
      </c>
    </row>
    <row r="255" spans="2:37" ht="12.75" customHeight="1">
      <c r="B255" s="26">
        <f t="shared" si="10"/>
        <v>247</v>
      </c>
      <c r="C255" s="31" t="s">
        <v>449</v>
      </c>
      <c r="D255" s="53"/>
      <c r="E255" s="53">
        <f>TRUNC(14.33/0.83+1.9)</f>
        <v>19</v>
      </c>
      <c r="F255" s="53">
        <v>6</v>
      </c>
      <c r="G255" s="53" t="s">
        <v>57</v>
      </c>
      <c r="H255" s="154">
        <f>19.33+1-0.16</f>
        <v>20.169999999999998</v>
      </c>
      <c r="I255" s="55">
        <f t="shared" si="11"/>
        <v>575.61145999999997</v>
      </c>
      <c r="J255" s="59"/>
      <c r="K255" s="4"/>
      <c r="L255" s="4"/>
      <c r="M255" s="4"/>
      <c r="N255" s="4"/>
      <c r="O255" s="4"/>
      <c r="P255" s="4"/>
      <c r="Q255" s="4"/>
      <c r="AK255" s="44">
        <f t="shared" si="9"/>
        <v>1.502</v>
      </c>
    </row>
    <row r="256" spans="2:37" ht="12.75" customHeight="1">
      <c r="B256" s="26">
        <f t="shared" si="10"/>
        <v>248</v>
      </c>
      <c r="C256" s="31" t="s">
        <v>440</v>
      </c>
      <c r="D256" s="53"/>
      <c r="E256" s="53">
        <f>TRUNC(14.33/1+1.9)</f>
        <v>16</v>
      </c>
      <c r="F256" s="53">
        <v>8</v>
      </c>
      <c r="G256" s="53" t="s">
        <v>57</v>
      </c>
      <c r="H256" s="154">
        <f>29.5+1.416*2</f>
        <v>32.332000000000001</v>
      </c>
      <c r="I256" s="55">
        <f t="shared" si="11"/>
        <v>1381.2230400000001</v>
      </c>
      <c r="J256" s="59"/>
      <c r="K256" s="4"/>
      <c r="L256" s="4"/>
      <c r="M256" s="4"/>
      <c r="N256" s="4"/>
      <c r="O256" s="4"/>
      <c r="P256" s="4"/>
      <c r="Q256" s="4"/>
      <c r="AK256" s="44">
        <f t="shared" si="9"/>
        <v>2.67</v>
      </c>
    </row>
    <row r="257" spans="2:37" ht="12.75" customHeight="1">
      <c r="B257" s="26">
        <f t="shared" si="10"/>
        <v>249</v>
      </c>
      <c r="C257" s="31" t="s">
        <v>443</v>
      </c>
      <c r="D257" s="53"/>
      <c r="E257" s="53">
        <f>TRUNC(14.33/1+1.9)</f>
        <v>16</v>
      </c>
      <c r="F257" s="53">
        <v>6</v>
      </c>
      <c r="G257" s="53" t="s">
        <v>57</v>
      </c>
      <c r="H257" s="154">
        <f>17.583+1*2</f>
        <v>19.582999999999998</v>
      </c>
      <c r="I257" s="55">
        <f t="shared" si="11"/>
        <v>470.61865599999999</v>
      </c>
      <c r="J257" s="59"/>
      <c r="K257" s="4"/>
      <c r="L257" s="4"/>
      <c r="M257" s="4"/>
      <c r="N257" s="4"/>
      <c r="O257" s="4"/>
      <c r="P257" s="4"/>
      <c r="Q257" s="4"/>
      <c r="AK257" s="44">
        <f t="shared" si="9"/>
        <v>1.502</v>
      </c>
    </row>
    <row r="258" spans="2:37" ht="12.75" customHeight="1">
      <c r="B258" s="26">
        <f t="shared" si="10"/>
        <v>250</v>
      </c>
      <c r="C258" s="31" t="s">
        <v>443</v>
      </c>
      <c r="D258" s="53"/>
      <c r="E258" s="53">
        <f>TRUNC(14.33/1+1.9)</f>
        <v>16</v>
      </c>
      <c r="F258" s="53">
        <v>6</v>
      </c>
      <c r="G258" s="53" t="s">
        <v>57</v>
      </c>
      <c r="H258" s="154">
        <f>19.75+1*2</f>
        <v>21.75</v>
      </c>
      <c r="I258" s="55">
        <f t="shared" si="11"/>
        <v>522.69600000000003</v>
      </c>
      <c r="J258" s="59"/>
      <c r="K258" s="4"/>
      <c r="L258" s="4"/>
      <c r="M258" s="4"/>
      <c r="N258" s="4"/>
      <c r="O258" s="4"/>
      <c r="P258" s="4"/>
      <c r="Q258" s="4"/>
      <c r="AK258" s="44">
        <f t="shared" si="9"/>
        <v>1.502</v>
      </c>
    </row>
    <row r="259" spans="2:37" ht="12.75" customHeight="1">
      <c r="B259" s="26">
        <f t="shared" si="10"/>
        <v>251</v>
      </c>
      <c r="C259" s="31" t="s">
        <v>451</v>
      </c>
      <c r="D259" s="53"/>
      <c r="E259" s="53">
        <f>TRUNC(14.33/0.83+1.9)</f>
        <v>19</v>
      </c>
      <c r="F259" s="139">
        <v>8</v>
      </c>
      <c r="G259" s="53" t="s">
        <v>57</v>
      </c>
      <c r="H259" s="154">
        <f>23.25+1.416-0.083</f>
        <v>24.583000000000002</v>
      </c>
      <c r="I259" s="55">
        <f t="shared" si="11"/>
        <v>1247.0955900000001</v>
      </c>
      <c r="J259" s="59"/>
      <c r="K259" s="4"/>
      <c r="M259" s="4"/>
      <c r="N259" s="4"/>
      <c r="O259" s="4"/>
      <c r="P259" s="4"/>
      <c r="Q259" s="4"/>
      <c r="AK259" s="44">
        <f t="shared" si="9"/>
        <v>2.67</v>
      </c>
    </row>
    <row r="260" spans="2:37" ht="12.75" customHeight="1">
      <c r="B260" s="26">
        <f t="shared" si="10"/>
        <v>252</v>
      </c>
      <c r="C260" s="28" t="s">
        <v>456</v>
      </c>
      <c r="D260" s="53"/>
      <c r="E260" s="53"/>
      <c r="F260" s="53"/>
      <c r="G260" s="53"/>
      <c r="H260" s="154"/>
      <c r="I260" s="55">
        <f t="shared" si="11"/>
        <v>0</v>
      </c>
      <c r="J260" s="59"/>
      <c r="K260" s="4"/>
      <c r="L260" s="4"/>
      <c r="M260" s="4"/>
      <c r="N260" s="4"/>
      <c r="O260" s="4"/>
      <c r="P260" s="4"/>
      <c r="Q260" s="4"/>
      <c r="AK260" s="44">
        <f t="shared" si="9"/>
        <v>0</v>
      </c>
    </row>
    <row r="261" spans="2:37" ht="12.75" customHeight="1">
      <c r="B261" s="26">
        <f t="shared" si="10"/>
        <v>253</v>
      </c>
      <c r="C261" s="31" t="s">
        <v>97</v>
      </c>
      <c r="D261" s="53"/>
      <c r="E261" s="53">
        <f>TRUNC(10/1+1.9)</f>
        <v>11</v>
      </c>
      <c r="F261" s="53">
        <v>5</v>
      </c>
      <c r="G261" s="53" t="s">
        <v>57</v>
      </c>
      <c r="H261" s="154">
        <f>(18.83-0.083)</f>
        <v>18.747</v>
      </c>
      <c r="I261" s="55">
        <f t="shared" si="11"/>
        <v>215.08433099999996</v>
      </c>
      <c r="J261" s="59"/>
      <c r="K261" s="4"/>
      <c r="L261" s="4"/>
      <c r="M261" s="4"/>
      <c r="N261" s="4"/>
      <c r="O261" s="4"/>
      <c r="P261" s="4"/>
      <c r="Q261" s="4"/>
      <c r="AK261" s="44">
        <f t="shared" si="9"/>
        <v>1.0429999999999999</v>
      </c>
    </row>
    <row r="262" spans="2:37" ht="12.75" customHeight="1">
      <c r="B262" s="26">
        <f t="shared" si="10"/>
        <v>254</v>
      </c>
      <c r="C262" s="31" t="s">
        <v>443</v>
      </c>
      <c r="D262" s="53"/>
      <c r="E262" s="53">
        <f>TRUNC(10/1+1.9)</f>
        <v>11</v>
      </c>
      <c r="F262" s="53">
        <v>6</v>
      </c>
      <c r="G262" s="53" t="s">
        <v>57</v>
      </c>
      <c r="H262" s="154">
        <f>31.75</f>
        <v>31.75</v>
      </c>
      <c r="I262" s="55">
        <f t="shared" si="11"/>
        <v>524.57349999999997</v>
      </c>
      <c r="J262" s="59"/>
      <c r="L262" s="4"/>
      <c r="M262" s="4"/>
      <c r="N262" s="4"/>
      <c r="O262" s="4"/>
      <c r="P262" s="4"/>
      <c r="Q262" s="4"/>
      <c r="AK262" s="44">
        <f t="shared" si="9"/>
        <v>1.502</v>
      </c>
    </row>
    <row r="263" spans="2:37" ht="12.75" customHeight="1">
      <c r="B263" s="26">
        <f t="shared" si="10"/>
        <v>255</v>
      </c>
      <c r="C263" s="31" t="s">
        <v>448</v>
      </c>
      <c r="D263" s="53"/>
      <c r="E263" s="53">
        <f>TRUNC(10/0.83+1.9)</f>
        <v>13</v>
      </c>
      <c r="F263" s="53">
        <v>5</v>
      </c>
      <c r="G263" s="53" t="s">
        <v>57</v>
      </c>
      <c r="H263" s="154">
        <v>23.5</v>
      </c>
      <c r="I263" s="55">
        <f t="shared" si="11"/>
        <v>318.63649999999996</v>
      </c>
      <c r="J263" s="59"/>
      <c r="K263" s="4"/>
      <c r="L263" s="4"/>
      <c r="M263" s="4"/>
      <c r="N263" s="4"/>
      <c r="O263" s="4"/>
      <c r="P263" s="4"/>
      <c r="Q263" s="4"/>
      <c r="AK263" s="44">
        <f t="shared" si="9"/>
        <v>1.0429999999999999</v>
      </c>
    </row>
    <row r="264" spans="2:37" ht="12.75" customHeight="1">
      <c r="B264" s="26">
        <f t="shared" si="10"/>
        <v>256</v>
      </c>
      <c r="C264" s="31" t="s">
        <v>97</v>
      </c>
      <c r="D264" s="53"/>
      <c r="E264" s="53">
        <f>TRUNC(10/1+1.9)</f>
        <v>11</v>
      </c>
      <c r="F264" s="53">
        <v>5</v>
      </c>
      <c r="G264" s="53" t="s">
        <v>57</v>
      </c>
      <c r="H264" s="154">
        <v>15.67</v>
      </c>
      <c r="I264" s="55">
        <f t="shared" si="11"/>
        <v>179.78190999999998</v>
      </c>
      <c r="J264" s="59"/>
      <c r="K264" s="4"/>
      <c r="L264" s="4"/>
      <c r="M264" s="4"/>
      <c r="N264" s="4"/>
      <c r="O264" s="4"/>
      <c r="P264" s="4"/>
      <c r="Q264" s="4"/>
      <c r="AK264" s="44">
        <f t="shared" si="9"/>
        <v>1.0429999999999999</v>
      </c>
    </row>
    <row r="265" spans="2:37" ht="12.75" customHeight="1">
      <c r="B265" s="26">
        <f t="shared" si="10"/>
        <v>257</v>
      </c>
      <c r="C265" s="31" t="s">
        <v>457</v>
      </c>
      <c r="D265" s="53"/>
      <c r="E265" s="53">
        <f>TRUNC(10/0.83+1.9)</f>
        <v>13</v>
      </c>
      <c r="F265" s="53">
        <v>7</v>
      </c>
      <c r="G265" s="53" t="s">
        <v>57</v>
      </c>
      <c r="H265" s="154">
        <f>23.75+0.5-0.083</f>
        <v>24.167000000000002</v>
      </c>
      <c r="I265" s="55">
        <f t="shared" si="11"/>
        <v>642.165524</v>
      </c>
      <c r="J265" s="59"/>
      <c r="K265" s="4"/>
      <c r="L265" s="4"/>
      <c r="M265" s="4"/>
      <c r="N265" s="4"/>
      <c r="O265" s="4"/>
      <c r="P265" s="4"/>
      <c r="Q265" s="4"/>
      <c r="AK265" s="44">
        <f t="shared" ref="AK265:AK328" si="12">IF(F265="",0,VLOOKUP(F265,$CI$16:$CJ$408,2,FALSE))</f>
        <v>2.044</v>
      </c>
    </row>
    <row r="266" spans="2:37" ht="12.75" customHeight="1">
      <c r="B266" s="26">
        <f t="shared" ref="B266:B329" si="13">IF(B265="SL.NO",1,B265+1)</f>
        <v>258</v>
      </c>
      <c r="C266" s="28" t="s">
        <v>458</v>
      </c>
      <c r="D266" s="53"/>
      <c r="E266" s="53"/>
      <c r="F266" s="53"/>
      <c r="G266" s="53"/>
      <c r="H266" s="154"/>
      <c r="I266" s="55">
        <f t="shared" si="11"/>
        <v>0</v>
      </c>
      <c r="J266" s="59"/>
      <c r="K266" s="4"/>
      <c r="L266" s="4"/>
      <c r="M266" s="4"/>
      <c r="N266" s="4"/>
      <c r="O266" s="4"/>
      <c r="P266" s="4"/>
      <c r="Q266" s="4"/>
      <c r="AK266" s="44">
        <f t="shared" si="12"/>
        <v>0</v>
      </c>
    </row>
    <row r="267" spans="2:37" ht="12.75" customHeight="1">
      <c r="B267" s="26">
        <f t="shared" si="13"/>
        <v>259</v>
      </c>
      <c r="C267" s="31" t="s">
        <v>97</v>
      </c>
      <c r="D267" s="53"/>
      <c r="E267" s="53">
        <f>TRUNC(4/1+1.9)</f>
        <v>5</v>
      </c>
      <c r="F267" s="53">
        <v>5</v>
      </c>
      <c r="G267" s="53" t="s">
        <v>57</v>
      </c>
      <c r="H267" s="154">
        <f>18.83+1-0.16</f>
        <v>19.669999999999998</v>
      </c>
      <c r="I267" s="55">
        <f t="shared" si="11"/>
        <v>102.57905</v>
      </c>
      <c r="J267" s="59"/>
      <c r="L267" s="4"/>
      <c r="M267" s="4"/>
      <c r="N267" s="4"/>
      <c r="O267" s="4"/>
      <c r="P267" s="4"/>
      <c r="Q267" s="4"/>
      <c r="AK267" s="44">
        <f t="shared" si="12"/>
        <v>1.0429999999999999</v>
      </c>
    </row>
    <row r="268" spans="2:37" ht="12.75" customHeight="1">
      <c r="B268" s="26">
        <f t="shared" si="13"/>
        <v>260</v>
      </c>
      <c r="C268" s="31" t="s">
        <v>439</v>
      </c>
      <c r="D268" s="53"/>
      <c r="E268" s="53">
        <f>TRUNC(4/1+1.9)</f>
        <v>5</v>
      </c>
      <c r="F268" s="53">
        <v>7</v>
      </c>
      <c r="G268" s="53" t="s">
        <v>57</v>
      </c>
      <c r="H268" s="154">
        <f>30.5+1.16*2</f>
        <v>32.82</v>
      </c>
      <c r="I268" s="55">
        <f t="shared" si="11"/>
        <v>335.42039999999997</v>
      </c>
      <c r="J268" s="59"/>
      <c r="K268" s="4"/>
      <c r="L268" s="4"/>
      <c r="M268" s="4"/>
      <c r="N268" s="4"/>
      <c r="O268" s="4"/>
      <c r="P268" s="4"/>
      <c r="Q268" s="4"/>
      <c r="AK268" s="44">
        <f t="shared" si="12"/>
        <v>2.044</v>
      </c>
    </row>
    <row r="269" spans="2:37" ht="12.75" customHeight="1">
      <c r="B269" s="26">
        <f t="shared" si="13"/>
        <v>261</v>
      </c>
      <c r="C269" s="31" t="s">
        <v>443</v>
      </c>
      <c r="D269" s="53"/>
      <c r="E269" s="53">
        <f>TRUNC(4/1+1.9)</f>
        <v>5</v>
      </c>
      <c r="F269" s="53">
        <v>6</v>
      </c>
      <c r="G269" s="53" t="s">
        <v>57</v>
      </c>
      <c r="H269" s="154">
        <f>18.75+1*2</f>
        <v>20.75</v>
      </c>
      <c r="I269" s="55">
        <f t="shared" si="11"/>
        <v>155.83249999999998</v>
      </c>
      <c r="J269" s="59"/>
      <c r="K269" s="4"/>
      <c r="L269" s="4"/>
      <c r="M269" s="4"/>
      <c r="N269" s="4"/>
      <c r="O269" s="4"/>
      <c r="P269" s="4"/>
      <c r="Q269" s="4"/>
      <c r="AK269" s="44">
        <f t="shared" si="12"/>
        <v>1.502</v>
      </c>
    </row>
    <row r="270" spans="2:37" ht="12.75" customHeight="1">
      <c r="B270" s="26">
        <f t="shared" si="13"/>
        <v>262</v>
      </c>
      <c r="C270" s="31" t="s">
        <v>443</v>
      </c>
      <c r="D270" s="53"/>
      <c r="E270" s="53">
        <f>TRUNC(4/1+1.9)</f>
        <v>5</v>
      </c>
      <c r="F270" s="53">
        <v>6</v>
      </c>
      <c r="G270" s="53" t="s">
        <v>57</v>
      </c>
      <c r="H270" s="154">
        <f>15.67+1*2</f>
        <v>17.670000000000002</v>
      </c>
      <c r="I270" s="55">
        <f t="shared" si="11"/>
        <v>132.70170000000002</v>
      </c>
      <c r="J270" s="59"/>
      <c r="K270" s="4"/>
      <c r="L270" s="4"/>
      <c r="M270" s="4"/>
      <c r="N270" s="4"/>
      <c r="O270" s="4"/>
      <c r="P270" s="4"/>
      <c r="Q270" s="4"/>
      <c r="AK270" s="44">
        <f t="shared" si="12"/>
        <v>1.502</v>
      </c>
    </row>
    <row r="271" spans="2:37" ht="12.75" customHeight="1">
      <c r="B271" s="26">
        <f t="shared" si="13"/>
        <v>263</v>
      </c>
      <c r="C271" s="31" t="s">
        <v>442</v>
      </c>
      <c r="D271" s="53"/>
      <c r="E271" s="53">
        <f>TRUNC(4/1+1.9)</f>
        <v>5</v>
      </c>
      <c r="F271" s="139">
        <v>9</v>
      </c>
      <c r="G271" s="53" t="s">
        <v>57</v>
      </c>
      <c r="H271" s="154">
        <f>27.25+1.75-0.083</f>
        <v>28.917000000000002</v>
      </c>
      <c r="I271" s="55">
        <f t="shared" ref="I271:I335" si="14">IF(D271="",AK271*H271*E271,AK271*H271*E271*D271)</f>
        <v>491.58900000000006</v>
      </c>
      <c r="J271" s="59"/>
      <c r="K271" s="4"/>
      <c r="L271" s="4"/>
      <c r="M271" s="4"/>
      <c r="N271" s="4"/>
      <c r="O271" s="4"/>
      <c r="P271" s="4"/>
      <c r="Q271" s="4"/>
      <c r="AK271" s="44">
        <f t="shared" si="12"/>
        <v>3.4</v>
      </c>
    </row>
    <row r="272" spans="2:37" ht="12.75" customHeight="1">
      <c r="B272" s="26">
        <f t="shared" si="13"/>
        <v>264</v>
      </c>
      <c r="C272" s="28" t="s">
        <v>458</v>
      </c>
      <c r="D272" s="53"/>
      <c r="E272" s="53"/>
      <c r="F272" s="53"/>
      <c r="G272" s="53"/>
      <c r="H272" s="154"/>
      <c r="I272" s="55">
        <f t="shared" si="14"/>
        <v>0</v>
      </c>
      <c r="J272" s="59"/>
      <c r="K272" s="4"/>
      <c r="L272" s="4"/>
      <c r="M272" s="4"/>
      <c r="N272" s="4"/>
      <c r="O272" s="4"/>
      <c r="P272" s="4"/>
      <c r="Q272" s="4"/>
      <c r="AK272" s="44">
        <f t="shared" si="12"/>
        <v>0</v>
      </c>
    </row>
    <row r="273" spans="2:37" ht="12.75" customHeight="1">
      <c r="B273" s="26">
        <f t="shared" si="13"/>
        <v>265</v>
      </c>
      <c r="C273" s="31" t="s">
        <v>443</v>
      </c>
      <c r="D273" s="53"/>
      <c r="E273" s="53">
        <f>TRUNC(4.25/1+1.9)</f>
        <v>6</v>
      </c>
      <c r="F273" s="53">
        <v>6</v>
      </c>
      <c r="G273" s="53" t="s">
        <v>57</v>
      </c>
      <c r="H273" s="154">
        <f>18.83+1-0.16</f>
        <v>19.669999999999998</v>
      </c>
      <c r="I273" s="55">
        <f t="shared" si="14"/>
        <v>177.26603999999998</v>
      </c>
      <c r="J273" s="59"/>
      <c r="K273" s="4"/>
      <c r="L273" s="4"/>
      <c r="M273" s="4"/>
      <c r="N273" s="4"/>
      <c r="O273" s="4"/>
      <c r="P273" s="4"/>
      <c r="Q273" s="4"/>
      <c r="AK273" s="44">
        <f t="shared" si="12"/>
        <v>1.502</v>
      </c>
    </row>
    <row r="274" spans="2:37" ht="12.75" customHeight="1">
      <c r="B274" s="26">
        <f t="shared" si="13"/>
        <v>266</v>
      </c>
      <c r="C274" s="31" t="s">
        <v>459</v>
      </c>
      <c r="D274" s="53"/>
      <c r="E274" s="53">
        <f>TRUNC(4.25/1+1.9)</f>
        <v>6</v>
      </c>
      <c r="F274" s="53">
        <v>9</v>
      </c>
      <c r="G274" s="53" t="s">
        <v>57</v>
      </c>
      <c r="H274" s="154">
        <f>25.5+1.75*2</f>
        <v>29</v>
      </c>
      <c r="I274" s="55">
        <f t="shared" si="14"/>
        <v>591.59999999999991</v>
      </c>
      <c r="J274" s="59"/>
      <c r="K274" s="4"/>
      <c r="L274" s="4"/>
      <c r="M274" s="4"/>
      <c r="N274" s="4"/>
      <c r="O274" s="4"/>
      <c r="P274" s="4"/>
      <c r="Q274" s="4"/>
      <c r="AK274" s="44">
        <f t="shared" si="12"/>
        <v>3.4</v>
      </c>
    </row>
    <row r="275" spans="2:37" ht="12.75" customHeight="1">
      <c r="B275" s="26">
        <f t="shared" si="13"/>
        <v>267</v>
      </c>
      <c r="C275" s="31" t="s">
        <v>443</v>
      </c>
      <c r="D275" s="53"/>
      <c r="E275" s="53">
        <f>TRUNC(3/1+1.9)</f>
        <v>4</v>
      </c>
      <c r="F275" s="53">
        <v>6</v>
      </c>
      <c r="G275" s="53" t="s">
        <v>57</v>
      </c>
      <c r="H275" s="154">
        <f>10.335+1-0.083</f>
        <v>11.252000000000001</v>
      </c>
      <c r="I275" s="55">
        <f t="shared" si="14"/>
        <v>67.602016000000006</v>
      </c>
      <c r="J275" s="59"/>
      <c r="K275" s="4"/>
      <c r="M275" s="4"/>
      <c r="N275" s="4"/>
      <c r="O275" s="4"/>
      <c r="P275" s="4"/>
      <c r="Q275" s="4"/>
      <c r="AK275" s="44">
        <f t="shared" si="12"/>
        <v>1.502</v>
      </c>
    </row>
    <row r="276" spans="2:37" ht="12.75" customHeight="1">
      <c r="B276" s="26">
        <f t="shared" si="13"/>
        <v>268</v>
      </c>
      <c r="C276" s="31" t="s">
        <v>459</v>
      </c>
      <c r="D276" s="53"/>
      <c r="E276" s="53">
        <f>TRUNC(4.25/1+1.9)</f>
        <v>6</v>
      </c>
      <c r="F276" s="53">
        <v>9</v>
      </c>
      <c r="G276" s="53" t="s">
        <v>57</v>
      </c>
      <c r="H276" s="154">
        <f>27.75+1.75-0.083</f>
        <v>29.417000000000002</v>
      </c>
      <c r="I276" s="55">
        <f t="shared" si="14"/>
        <v>600.10680000000002</v>
      </c>
      <c r="J276" s="59"/>
      <c r="K276" s="4"/>
      <c r="L276" s="4"/>
      <c r="M276" s="4"/>
      <c r="N276" s="4"/>
      <c r="O276" s="4"/>
      <c r="P276" s="4"/>
      <c r="Q276" s="4"/>
      <c r="AK276" s="44">
        <f t="shared" si="12"/>
        <v>3.4</v>
      </c>
    </row>
    <row r="277" spans="2:37" ht="12.75" customHeight="1">
      <c r="B277" s="26">
        <f t="shared" si="13"/>
        <v>269</v>
      </c>
      <c r="C277" s="28" t="s">
        <v>460</v>
      </c>
      <c r="D277" s="53"/>
      <c r="E277" s="53"/>
      <c r="F277" s="53"/>
      <c r="G277" s="53"/>
      <c r="H277" s="154"/>
      <c r="I277" s="55">
        <f t="shared" si="14"/>
        <v>0</v>
      </c>
      <c r="J277" s="59"/>
      <c r="K277" s="4"/>
      <c r="L277" s="4"/>
      <c r="M277" s="4"/>
      <c r="N277" s="4"/>
      <c r="O277" s="4"/>
      <c r="P277" s="4"/>
      <c r="Q277" s="4"/>
      <c r="AK277" s="44">
        <f t="shared" si="12"/>
        <v>0</v>
      </c>
    </row>
    <row r="278" spans="2:37" ht="12.75" customHeight="1">
      <c r="B278" s="26">
        <f t="shared" si="13"/>
        <v>270</v>
      </c>
      <c r="C278" s="31" t="s">
        <v>97</v>
      </c>
      <c r="D278" s="53"/>
      <c r="E278" s="53">
        <f>TRUNC(4.75/1+1.9)</f>
        <v>6</v>
      </c>
      <c r="F278" s="53">
        <v>5</v>
      </c>
      <c r="G278" s="53" t="s">
        <v>57</v>
      </c>
      <c r="H278" s="154">
        <f>(18.83-0.083)</f>
        <v>18.747</v>
      </c>
      <c r="I278" s="55">
        <f t="shared" si="14"/>
        <v>117.31872599999998</v>
      </c>
      <c r="J278" s="59"/>
      <c r="L278" s="4"/>
      <c r="M278" s="4"/>
      <c r="N278" s="4"/>
      <c r="O278" s="4"/>
      <c r="P278" s="4"/>
      <c r="Q278" s="4"/>
      <c r="AK278" s="44">
        <f t="shared" si="12"/>
        <v>1.0429999999999999</v>
      </c>
    </row>
    <row r="279" spans="2:37" ht="12.75" customHeight="1">
      <c r="B279" s="26">
        <f t="shared" si="13"/>
        <v>271</v>
      </c>
      <c r="C279" s="31" t="s">
        <v>443</v>
      </c>
      <c r="D279" s="53"/>
      <c r="E279" s="53">
        <f>TRUNC(4.75/1+1.9)</f>
        <v>6</v>
      </c>
      <c r="F279" s="53">
        <v>6</v>
      </c>
      <c r="G279" s="53" t="s">
        <v>57</v>
      </c>
      <c r="H279" s="154">
        <f>31.75</f>
        <v>31.75</v>
      </c>
      <c r="I279" s="55">
        <f t="shared" si="14"/>
        <v>286.13099999999997</v>
      </c>
      <c r="J279" s="59"/>
      <c r="K279" s="4"/>
      <c r="L279" s="4"/>
      <c r="M279" s="4"/>
      <c r="N279" s="4"/>
      <c r="O279" s="4"/>
      <c r="P279" s="4"/>
      <c r="Q279" s="4"/>
      <c r="AK279" s="44">
        <f t="shared" si="12"/>
        <v>1.502</v>
      </c>
    </row>
    <row r="280" spans="2:37" ht="12.75" customHeight="1">
      <c r="B280" s="26">
        <f t="shared" si="13"/>
        <v>272</v>
      </c>
      <c r="C280" s="31" t="s">
        <v>448</v>
      </c>
      <c r="D280" s="53"/>
      <c r="E280" s="53">
        <f>TRUNC(4.75/0.83+1.9)</f>
        <v>7</v>
      </c>
      <c r="F280" s="53">
        <v>5</v>
      </c>
      <c r="G280" s="53" t="s">
        <v>57</v>
      </c>
      <c r="H280" s="154">
        <v>23.5</v>
      </c>
      <c r="I280" s="55">
        <f t="shared" si="14"/>
        <v>171.57349999999997</v>
      </c>
      <c r="J280" s="59"/>
      <c r="K280" s="4"/>
      <c r="L280" s="4"/>
      <c r="M280" s="4"/>
      <c r="N280" s="4"/>
      <c r="O280" s="4"/>
      <c r="P280" s="4"/>
      <c r="Q280" s="4"/>
      <c r="AK280" s="44">
        <f t="shared" si="12"/>
        <v>1.0429999999999999</v>
      </c>
    </row>
    <row r="281" spans="2:37" ht="12.75" customHeight="1">
      <c r="B281" s="26">
        <f t="shared" si="13"/>
        <v>273</v>
      </c>
      <c r="C281" s="31" t="s">
        <v>97</v>
      </c>
      <c r="D281" s="53"/>
      <c r="E281" s="53">
        <f>TRUNC(4.75/1+1.9)</f>
        <v>6</v>
      </c>
      <c r="F281" s="53">
        <v>5</v>
      </c>
      <c r="G281" s="53" t="s">
        <v>57</v>
      </c>
      <c r="H281" s="154">
        <v>15.67</v>
      </c>
      <c r="I281" s="55">
        <f t="shared" si="14"/>
        <v>98.062859999999986</v>
      </c>
      <c r="J281" s="59"/>
      <c r="L281" s="4"/>
      <c r="M281" s="4"/>
      <c r="N281" s="4"/>
      <c r="O281" s="4"/>
      <c r="P281" s="4"/>
      <c r="Q281" s="4"/>
      <c r="AK281" s="44">
        <f t="shared" si="12"/>
        <v>1.0429999999999999</v>
      </c>
    </row>
    <row r="282" spans="2:37" ht="12.75" customHeight="1">
      <c r="B282" s="26">
        <f t="shared" si="13"/>
        <v>274</v>
      </c>
      <c r="C282" s="31" t="s">
        <v>457</v>
      </c>
      <c r="D282" s="53"/>
      <c r="E282" s="53">
        <f>TRUNC(4.75/0.83+1.9)</f>
        <v>7</v>
      </c>
      <c r="F282" s="53">
        <v>7</v>
      </c>
      <c r="G282" s="53" t="s">
        <v>57</v>
      </c>
      <c r="H282" s="154">
        <f>23.75+0.5-0.083</f>
        <v>24.167000000000002</v>
      </c>
      <c r="I282" s="55">
        <f t="shared" si="14"/>
        <v>345.78143599999999</v>
      </c>
      <c r="J282" s="59"/>
      <c r="K282" s="4"/>
      <c r="L282" s="4"/>
      <c r="M282" s="4"/>
      <c r="N282" s="4"/>
      <c r="O282" s="4"/>
      <c r="P282" s="4"/>
      <c r="Q282" s="4"/>
      <c r="AK282" s="44">
        <f t="shared" si="12"/>
        <v>2.044</v>
      </c>
    </row>
    <row r="283" spans="2:37" ht="12.75" customHeight="1">
      <c r="B283" s="26">
        <f t="shared" si="13"/>
        <v>275</v>
      </c>
      <c r="C283" s="28" t="s">
        <v>461</v>
      </c>
      <c r="D283" s="53"/>
      <c r="E283" s="53"/>
      <c r="F283" s="53"/>
      <c r="G283" s="53"/>
      <c r="H283" s="154"/>
      <c r="I283" s="55">
        <f t="shared" si="14"/>
        <v>0</v>
      </c>
      <c r="J283" s="59"/>
      <c r="K283" s="4"/>
      <c r="L283" s="4"/>
      <c r="M283" s="4"/>
      <c r="N283" s="4"/>
      <c r="O283" s="4"/>
      <c r="P283" s="4"/>
      <c r="Q283" s="4"/>
      <c r="AK283" s="44">
        <f t="shared" si="12"/>
        <v>0</v>
      </c>
    </row>
    <row r="284" spans="2:37" ht="12.75" customHeight="1">
      <c r="B284" s="26">
        <f t="shared" si="13"/>
        <v>276</v>
      </c>
      <c r="C284" s="31" t="s">
        <v>443</v>
      </c>
      <c r="D284" s="53"/>
      <c r="E284" s="53">
        <f>TRUNC(9.83/1+1.9)</f>
        <v>11</v>
      </c>
      <c r="F284" s="53">
        <v>6</v>
      </c>
      <c r="G284" s="53" t="s">
        <v>57</v>
      </c>
      <c r="H284" s="154">
        <f>13.33+1-0.16</f>
        <v>14.17</v>
      </c>
      <c r="I284" s="55">
        <f t="shared" si="14"/>
        <v>234.11673999999999</v>
      </c>
      <c r="J284" s="59"/>
      <c r="K284" s="4"/>
      <c r="L284" s="4"/>
      <c r="M284" s="4"/>
      <c r="N284" s="4"/>
      <c r="O284" s="4"/>
      <c r="P284" s="4"/>
      <c r="Q284" s="4"/>
      <c r="AK284" s="44">
        <f t="shared" si="12"/>
        <v>1.502</v>
      </c>
    </row>
    <row r="285" spans="2:37" ht="12.75" customHeight="1">
      <c r="B285" s="26">
        <f t="shared" si="13"/>
        <v>277</v>
      </c>
      <c r="C285" s="31" t="s">
        <v>443</v>
      </c>
      <c r="D285" s="53"/>
      <c r="E285" s="53">
        <f>TRUNC(9.83/1+1.9)</f>
        <v>11</v>
      </c>
      <c r="F285" s="53">
        <v>6</v>
      </c>
      <c r="G285" s="53" t="s">
        <v>57</v>
      </c>
      <c r="H285" s="154">
        <f>30+1*2</f>
        <v>32</v>
      </c>
      <c r="I285" s="55">
        <f t="shared" si="14"/>
        <v>528.70399999999995</v>
      </c>
      <c r="J285" s="59"/>
      <c r="K285" s="4"/>
      <c r="L285" s="4"/>
      <c r="M285" s="4"/>
      <c r="N285" s="4"/>
      <c r="O285" s="4"/>
      <c r="P285" s="4"/>
      <c r="Q285" s="4"/>
      <c r="AK285" s="44">
        <f t="shared" si="12"/>
        <v>1.502</v>
      </c>
    </row>
    <row r="286" spans="2:37" ht="12.75" customHeight="1">
      <c r="B286" s="26">
        <f t="shared" si="13"/>
        <v>278</v>
      </c>
      <c r="C286" s="31" t="s">
        <v>442</v>
      </c>
      <c r="D286" s="53"/>
      <c r="E286" s="53">
        <f>TRUNC(9.83/0.83+1.9)</f>
        <v>13</v>
      </c>
      <c r="F286" s="53">
        <v>9</v>
      </c>
      <c r="G286" s="53" t="s">
        <v>57</v>
      </c>
      <c r="H286" s="154">
        <f>28.67+1.75*2-0.083</f>
        <v>32.087000000000003</v>
      </c>
      <c r="I286" s="55">
        <f t="shared" si="14"/>
        <v>1418.2454000000002</v>
      </c>
      <c r="J286" s="59"/>
      <c r="K286" s="4"/>
      <c r="M286" s="4"/>
      <c r="N286" s="4"/>
      <c r="O286" s="4"/>
      <c r="P286" s="4"/>
      <c r="Q286" s="4"/>
      <c r="AK286" s="44">
        <f t="shared" si="12"/>
        <v>3.4</v>
      </c>
    </row>
    <row r="287" spans="2:37" ht="12.75" customHeight="1">
      <c r="B287" s="26">
        <f t="shared" si="13"/>
        <v>279</v>
      </c>
      <c r="C287" s="31" t="s">
        <v>443</v>
      </c>
      <c r="D287" s="53"/>
      <c r="E287" s="53">
        <f>TRUNC(9.83/1+1.9)</f>
        <v>11</v>
      </c>
      <c r="F287" s="53">
        <v>6</v>
      </c>
      <c r="G287" s="53" t="s">
        <v>57</v>
      </c>
      <c r="H287" s="154">
        <f>8+1.16*2</f>
        <v>10.32</v>
      </c>
      <c r="I287" s="55">
        <f t="shared" si="14"/>
        <v>170.50704000000002</v>
      </c>
      <c r="J287" s="59"/>
      <c r="K287" s="4"/>
      <c r="L287" s="4"/>
      <c r="M287" s="4"/>
      <c r="N287" s="4"/>
      <c r="O287" s="4"/>
      <c r="P287" s="4"/>
      <c r="Q287" s="4"/>
      <c r="AK287" s="44">
        <f t="shared" si="12"/>
        <v>1.502</v>
      </c>
    </row>
    <row r="288" spans="2:37" ht="12.75" customHeight="1">
      <c r="B288" s="26">
        <f t="shared" si="13"/>
        <v>280</v>
      </c>
      <c r="C288" s="31" t="s">
        <v>442</v>
      </c>
      <c r="D288" s="53"/>
      <c r="E288" s="53">
        <f>TRUNC(9.83/0.83+1.9)</f>
        <v>13</v>
      </c>
      <c r="F288" s="53">
        <v>9</v>
      </c>
      <c r="G288" s="53" t="s">
        <v>57</v>
      </c>
      <c r="H288" s="154">
        <f>27.75+1.75-0.083</f>
        <v>29.417000000000002</v>
      </c>
      <c r="I288" s="55">
        <f t="shared" si="14"/>
        <v>1300.2314000000001</v>
      </c>
      <c r="J288" s="59"/>
      <c r="K288" s="4"/>
      <c r="L288" s="4"/>
      <c r="M288" s="4"/>
      <c r="N288" s="4"/>
      <c r="O288" s="4"/>
      <c r="P288" s="4"/>
      <c r="Q288" s="4"/>
      <c r="AK288" s="44">
        <f t="shared" si="12"/>
        <v>3.4</v>
      </c>
    </row>
    <row r="289" spans="2:37" ht="12.75" customHeight="1">
      <c r="B289" s="26">
        <f t="shared" si="13"/>
        <v>281</v>
      </c>
      <c r="C289" s="28" t="s">
        <v>462</v>
      </c>
      <c r="D289" s="53"/>
      <c r="E289" s="53"/>
      <c r="F289" s="53"/>
      <c r="G289" s="53"/>
      <c r="H289" s="154"/>
      <c r="I289" s="55">
        <f t="shared" si="14"/>
        <v>0</v>
      </c>
      <c r="J289" s="59"/>
      <c r="L289" s="4"/>
      <c r="M289" s="4"/>
      <c r="N289" s="4"/>
      <c r="O289" s="4"/>
      <c r="P289" s="4"/>
      <c r="Q289" s="4"/>
      <c r="AK289" s="44">
        <f t="shared" si="12"/>
        <v>0</v>
      </c>
    </row>
    <row r="290" spans="2:37" ht="12.75" customHeight="1">
      <c r="B290" s="26">
        <f t="shared" si="13"/>
        <v>282</v>
      </c>
      <c r="C290" s="31" t="s">
        <v>97</v>
      </c>
      <c r="D290" s="53"/>
      <c r="E290" s="53">
        <f>TRUNC(13.5/1+1.9)</f>
        <v>15</v>
      </c>
      <c r="F290" s="53">
        <v>5</v>
      </c>
      <c r="G290" s="53" t="s">
        <v>57</v>
      </c>
      <c r="H290" s="154">
        <f>(14-0.083)</f>
        <v>13.917</v>
      </c>
      <c r="I290" s="55">
        <f t="shared" si="14"/>
        <v>217.73146499999999</v>
      </c>
      <c r="J290" s="59"/>
      <c r="K290" s="4"/>
      <c r="L290" s="4"/>
      <c r="M290" s="4"/>
      <c r="N290" s="4"/>
      <c r="O290" s="4"/>
      <c r="P290" s="4"/>
      <c r="Q290" s="4"/>
      <c r="AK290" s="44">
        <f t="shared" si="12"/>
        <v>1.0429999999999999</v>
      </c>
    </row>
    <row r="291" spans="2:37" ht="12.75" customHeight="1">
      <c r="B291" s="26">
        <f t="shared" si="13"/>
        <v>283</v>
      </c>
      <c r="C291" s="31" t="s">
        <v>440</v>
      </c>
      <c r="D291" s="53"/>
      <c r="E291" s="53">
        <f>TRUNC(13.5/1+1.9)</f>
        <v>15</v>
      </c>
      <c r="F291" s="53">
        <v>8</v>
      </c>
      <c r="G291" s="53" t="s">
        <v>57</v>
      </c>
      <c r="H291" s="154">
        <v>31.5</v>
      </c>
      <c r="I291" s="55">
        <f t="shared" si="14"/>
        <v>1261.575</v>
      </c>
      <c r="J291" s="59"/>
      <c r="K291" s="4"/>
      <c r="L291" s="4"/>
      <c r="M291" s="4"/>
      <c r="N291" s="4"/>
      <c r="O291" s="4"/>
      <c r="P291" s="4"/>
      <c r="Q291" s="4"/>
      <c r="AK291" s="44">
        <f t="shared" si="12"/>
        <v>2.67</v>
      </c>
    </row>
    <row r="292" spans="2:37" ht="12.75" customHeight="1">
      <c r="B292" s="26">
        <f t="shared" si="13"/>
        <v>284</v>
      </c>
      <c r="C292" s="31" t="s">
        <v>442</v>
      </c>
      <c r="D292" s="53"/>
      <c r="E292" s="53">
        <f>TRUNC(13.5/0.83+1.9)</f>
        <v>18</v>
      </c>
      <c r="F292" s="53">
        <v>9</v>
      </c>
      <c r="G292" s="53" t="s">
        <v>57</v>
      </c>
      <c r="H292" s="154">
        <f>29.5-0.083</f>
        <v>29.417000000000002</v>
      </c>
      <c r="I292" s="55">
        <f t="shared" si="14"/>
        <v>1800.3204000000001</v>
      </c>
      <c r="J292" s="59"/>
      <c r="K292" s="4"/>
      <c r="L292" s="4"/>
      <c r="M292" s="4"/>
      <c r="N292" s="4"/>
      <c r="O292" s="4"/>
      <c r="P292" s="4"/>
      <c r="Q292" s="4"/>
      <c r="AK292" s="44">
        <f t="shared" si="12"/>
        <v>3.4</v>
      </c>
    </row>
    <row r="293" spans="2:37" ht="12.75" customHeight="1">
      <c r="B293" s="26">
        <f t="shared" si="13"/>
        <v>285</v>
      </c>
      <c r="C293" s="31" t="s">
        <v>442</v>
      </c>
      <c r="D293" s="53"/>
      <c r="E293" s="53">
        <f>TRUNC(13.5/0.83+1.9)</f>
        <v>18</v>
      </c>
      <c r="F293" s="53">
        <v>9</v>
      </c>
      <c r="G293" s="53" t="s">
        <v>57</v>
      </c>
      <c r="H293" s="154">
        <f>27.75-0.083</f>
        <v>27.667000000000002</v>
      </c>
      <c r="I293" s="55">
        <f t="shared" si="14"/>
        <v>1693.2204000000002</v>
      </c>
      <c r="J293" s="59"/>
      <c r="K293" s="4"/>
      <c r="L293" s="4"/>
      <c r="M293" s="4"/>
      <c r="N293" s="4"/>
      <c r="O293" s="4"/>
      <c r="P293" s="4"/>
      <c r="Q293" s="4"/>
      <c r="AK293" s="44">
        <f t="shared" si="12"/>
        <v>3.4</v>
      </c>
    </row>
    <row r="294" spans="2:37" ht="12.75" customHeight="1">
      <c r="B294" s="26">
        <f t="shared" si="13"/>
        <v>286</v>
      </c>
      <c r="C294" s="28" t="s">
        <v>463</v>
      </c>
      <c r="D294" s="53"/>
      <c r="E294" s="53"/>
      <c r="F294" s="53"/>
      <c r="G294" s="53"/>
      <c r="H294" s="154"/>
      <c r="I294" s="55">
        <f t="shared" si="14"/>
        <v>0</v>
      </c>
      <c r="J294" s="59"/>
      <c r="L294" s="4"/>
      <c r="M294" s="4"/>
      <c r="N294" s="4"/>
      <c r="O294" s="4"/>
      <c r="P294" s="4"/>
      <c r="Q294" s="4"/>
      <c r="AK294" s="44">
        <f t="shared" si="12"/>
        <v>0</v>
      </c>
    </row>
    <row r="295" spans="2:37" ht="12.75" customHeight="1">
      <c r="B295" s="26">
        <f t="shared" si="13"/>
        <v>287</v>
      </c>
      <c r="C295" s="31" t="s">
        <v>443</v>
      </c>
      <c r="D295" s="53"/>
      <c r="E295" s="53">
        <f>TRUNC(7/1+1.9)</f>
        <v>8</v>
      </c>
      <c r="F295" s="53">
        <v>6</v>
      </c>
      <c r="G295" s="53" t="s">
        <v>57</v>
      </c>
      <c r="H295" s="154">
        <f>(14+1-0.083)</f>
        <v>14.917</v>
      </c>
      <c r="I295" s="55">
        <f t="shared" si="14"/>
        <v>179.242672</v>
      </c>
      <c r="J295" s="59"/>
      <c r="K295" s="4"/>
      <c r="L295" s="4"/>
      <c r="M295" s="4"/>
      <c r="N295" s="4"/>
      <c r="O295" s="4"/>
      <c r="P295" s="4"/>
      <c r="Q295" s="4"/>
      <c r="AK295" s="44">
        <f t="shared" si="12"/>
        <v>1.502</v>
      </c>
    </row>
    <row r="296" spans="2:37" ht="12.75" customHeight="1">
      <c r="B296" s="26">
        <f t="shared" si="13"/>
        <v>288</v>
      </c>
      <c r="C296" s="31" t="s">
        <v>442</v>
      </c>
      <c r="D296" s="53"/>
      <c r="E296" s="53">
        <f>TRUNC(7/0.83+1.9)</f>
        <v>10</v>
      </c>
      <c r="F296" s="53">
        <v>8</v>
      </c>
      <c r="G296" s="53" t="s">
        <v>57</v>
      </c>
      <c r="H296" s="154">
        <f>31.5+1.75-0.16</f>
        <v>33.090000000000003</v>
      </c>
      <c r="I296" s="55">
        <f t="shared" si="14"/>
        <v>883.50300000000004</v>
      </c>
      <c r="J296" s="59"/>
      <c r="K296" s="4"/>
      <c r="L296" s="4"/>
      <c r="M296" s="4"/>
      <c r="N296" s="4"/>
      <c r="O296" s="4"/>
      <c r="P296" s="4"/>
      <c r="Q296" s="4"/>
      <c r="AK296" s="44">
        <f t="shared" si="12"/>
        <v>2.67</v>
      </c>
    </row>
    <row r="297" spans="2:37" ht="12.75" customHeight="1">
      <c r="B297" s="26">
        <f t="shared" si="13"/>
        <v>289</v>
      </c>
      <c r="C297" s="38" t="s">
        <v>464</v>
      </c>
      <c r="D297" s="35"/>
      <c r="E297" s="35"/>
      <c r="F297" s="36"/>
      <c r="G297" s="146"/>
      <c r="H297" s="37"/>
      <c r="I297" s="55">
        <f t="shared" si="14"/>
        <v>0</v>
      </c>
      <c r="J297" s="59"/>
      <c r="K297" s="4"/>
      <c r="L297" s="4"/>
      <c r="M297" s="4"/>
      <c r="N297" s="4"/>
      <c r="O297" s="4"/>
      <c r="P297" s="4"/>
      <c r="Q297" s="4"/>
      <c r="AK297" s="44">
        <f t="shared" si="12"/>
        <v>0</v>
      </c>
    </row>
    <row r="298" spans="2:37" ht="12.75" customHeight="1">
      <c r="B298" s="26">
        <f t="shared" si="13"/>
        <v>290</v>
      </c>
      <c r="C298" s="41" t="s">
        <v>465</v>
      </c>
      <c r="D298" s="39"/>
      <c r="E298" s="53">
        <f>TRUNC(2/1+1.9)</f>
        <v>3</v>
      </c>
      <c r="F298" s="139">
        <v>6</v>
      </c>
      <c r="G298" s="155" t="s">
        <v>65</v>
      </c>
      <c r="H298" s="27">
        <f>9.5+7.083+1</f>
        <v>17.582999999999998</v>
      </c>
      <c r="I298" s="55">
        <f t="shared" si="14"/>
        <v>79.22899799999999</v>
      </c>
      <c r="J298" s="59"/>
      <c r="K298" s="4"/>
      <c r="L298" s="4"/>
      <c r="M298" s="4"/>
      <c r="N298" s="4"/>
      <c r="O298" s="4"/>
      <c r="P298" s="4"/>
      <c r="Q298" s="4"/>
      <c r="AK298" s="44">
        <f t="shared" si="12"/>
        <v>1.502</v>
      </c>
    </row>
    <row r="299" spans="2:37" ht="12.75" customHeight="1">
      <c r="B299" s="26">
        <f t="shared" si="13"/>
        <v>291</v>
      </c>
      <c r="C299" s="41" t="s">
        <v>466</v>
      </c>
      <c r="D299" s="39"/>
      <c r="E299" s="53">
        <f>TRUNC(2/0.67+1.9)</f>
        <v>4</v>
      </c>
      <c r="F299" s="139">
        <v>9</v>
      </c>
      <c r="G299" s="155" t="s">
        <v>57</v>
      </c>
      <c r="H299" s="27">
        <f>8*2</f>
        <v>16</v>
      </c>
      <c r="I299" s="55">
        <f t="shared" si="14"/>
        <v>217.6</v>
      </c>
      <c r="J299" s="59"/>
      <c r="K299" s="4"/>
      <c r="L299" s="4"/>
      <c r="M299" s="4"/>
      <c r="N299" s="4"/>
      <c r="O299" s="4"/>
      <c r="P299" s="4"/>
      <c r="Q299" s="4"/>
      <c r="AK299" s="44">
        <f t="shared" si="12"/>
        <v>3.4</v>
      </c>
    </row>
    <row r="300" spans="2:37" ht="12.75" customHeight="1">
      <c r="B300" s="26">
        <f t="shared" si="13"/>
        <v>292</v>
      </c>
      <c r="C300" s="28" t="s">
        <v>441</v>
      </c>
      <c r="D300" s="39"/>
      <c r="E300" s="39"/>
      <c r="F300" s="139"/>
      <c r="G300" s="155"/>
      <c r="H300" s="27"/>
      <c r="I300" s="55">
        <f t="shared" si="14"/>
        <v>0</v>
      </c>
      <c r="J300" s="59"/>
      <c r="K300" s="4"/>
      <c r="L300" s="4"/>
      <c r="M300" s="4"/>
      <c r="N300" s="4"/>
      <c r="O300" s="4"/>
      <c r="P300" s="4"/>
      <c r="Q300" s="4"/>
      <c r="AK300" s="44">
        <f t="shared" si="12"/>
        <v>0</v>
      </c>
    </row>
    <row r="301" spans="2:37" ht="12.75" customHeight="1">
      <c r="B301" s="26">
        <f t="shared" si="13"/>
        <v>293</v>
      </c>
      <c r="C301" s="41" t="s">
        <v>467</v>
      </c>
      <c r="D301" s="39"/>
      <c r="E301" s="53">
        <f>TRUNC(7.416/1+1.9)</f>
        <v>9</v>
      </c>
      <c r="F301" s="139">
        <v>8</v>
      </c>
      <c r="G301" s="155" t="s">
        <v>65</v>
      </c>
      <c r="H301" s="27">
        <f>1.33+7.33+5.416-0.083</f>
        <v>13.993</v>
      </c>
      <c r="I301" s="55">
        <f t="shared" si="14"/>
        <v>336.25179000000003</v>
      </c>
      <c r="J301" s="59"/>
      <c r="K301" s="4"/>
      <c r="L301" s="4"/>
      <c r="M301" s="4"/>
      <c r="N301" s="4"/>
      <c r="O301" s="4"/>
      <c r="P301" s="4"/>
      <c r="Q301" s="4"/>
      <c r="AK301" s="44">
        <f t="shared" si="12"/>
        <v>2.67</v>
      </c>
    </row>
    <row r="302" spans="2:37" ht="12.75" customHeight="1">
      <c r="B302" s="26">
        <f t="shared" si="13"/>
        <v>294</v>
      </c>
      <c r="C302" s="41" t="s">
        <v>468</v>
      </c>
      <c r="D302" s="39"/>
      <c r="E302" s="53">
        <f>TRUNC(7.416/1+1.9)</f>
        <v>9</v>
      </c>
      <c r="F302" s="139">
        <v>7</v>
      </c>
      <c r="G302" s="155" t="s">
        <v>57</v>
      </c>
      <c r="H302" s="27">
        <f>7.33*2</f>
        <v>14.66</v>
      </c>
      <c r="I302" s="55">
        <f t="shared" si="14"/>
        <v>269.68536</v>
      </c>
      <c r="J302" s="59"/>
      <c r="K302" s="4"/>
      <c r="M302" s="4"/>
      <c r="N302" s="4"/>
      <c r="O302" s="4"/>
      <c r="P302" s="4"/>
      <c r="Q302" s="4"/>
      <c r="AK302" s="44">
        <f t="shared" si="12"/>
        <v>2.044</v>
      </c>
    </row>
    <row r="303" spans="2:37" ht="12.75" customHeight="1">
      <c r="B303" s="26">
        <f t="shared" si="13"/>
        <v>295</v>
      </c>
      <c r="C303" s="41" t="s">
        <v>468</v>
      </c>
      <c r="D303" s="39"/>
      <c r="E303" s="53">
        <f>TRUNC(7.416/1+1.9)</f>
        <v>9</v>
      </c>
      <c r="F303" s="139">
        <v>5</v>
      </c>
      <c r="G303" s="155" t="s">
        <v>57</v>
      </c>
      <c r="H303" s="27">
        <f>4.916+2-0.083</f>
        <v>6.8330000000000002</v>
      </c>
      <c r="I303" s="55">
        <f t="shared" si="14"/>
        <v>64.141370999999992</v>
      </c>
      <c r="J303" s="59"/>
      <c r="K303" s="4"/>
      <c r="L303" s="4"/>
      <c r="M303" s="4"/>
      <c r="N303" s="4"/>
      <c r="O303" s="4"/>
      <c r="P303" s="4"/>
      <c r="Q303" s="4"/>
      <c r="AK303" s="44">
        <f t="shared" si="12"/>
        <v>1.0429999999999999</v>
      </c>
    </row>
    <row r="304" spans="2:37" ht="12.75" customHeight="1">
      <c r="B304" s="26">
        <f t="shared" si="13"/>
        <v>296</v>
      </c>
      <c r="C304" s="41" t="s">
        <v>469</v>
      </c>
      <c r="D304" s="39"/>
      <c r="E304" s="53">
        <f>TRUNC(7.416/0.83+1.9)</f>
        <v>10</v>
      </c>
      <c r="F304" s="139">
        <v>7</v>
      </c>
      <c r="G304" s="155" t="s">
        <v>65</v>
      </c>
      <c r="H304" s="27">
        <f>1.16+5.75*2</f>
        <v>12.66</v>
      </c>
      <c r="I304" s="55">
        <f t="shared" si="14"/>
        <v>258.7704</v>
      </c>
      <c r="J304" s="59"/>
      <c r="K304" s="4"/>
      <c r="L304" s="4"/>
      <c r="M304" s="4"/>
      <c r="N304" s="4"/>
      <c r="O304" s="4"/>
      <c r="P304" s="4"/>
      <c r="Q304" s="4"/>
      <c r="AK304" s="44">
        <f t="shared" si="12"/>
        <v>2.044</v>
      </c>
    </row>
    <row r="305" spans="2:37" ht="12.75" customHeight="1">
      <c r="B305" s="26">
        <f t="shared" si="13"/>
        <v>297</v>
      </c>
      <c r="C305" s="28" t="s">
        <v>444</v>
      </c>
      <c r="D305" s="39"/>
      <c r="E305" s="39"/>
      <c r="F305" s="139"/>
      <c r="G305" s="155"/>
      <c r="H305" s="27"/>
      <c r="I305" s="55">
        <f t="shared" si="14"/>
        <v>0</v>
      </c>
      <c r="J305" s="59"/>
      <c r="L305" s="4"/>
      <c r="M305" s="4"/>
      <c r="N305" s="4"/>
      <c r="O305" s="4"/>
      <c r="P305" s="4"/>
      <c r="Q305" s="4"/>
      <c r="AK305" s="44">
        <f t="shared" si="12"/>
        <v>0</v>
      </c>
    </row>
    <row r="306" spans="2:37" ht="12.75" customHeight="1">
      <c r="B306" s="26">
        <f t="shared" si="13"/>
        <v>298</v>
      </c>
      <c r="C306" s="41" t="s">
        <v>467</v>
      </c>
      <c r="D306" s="39"/>
      <c r="E306" s="53">
        <f>TRUNC(4/1+1.9)</f>
        <v>5</v>
      </c>
      <c r="F306" s="139">
        <v>8</v>
      </c>
      <c r="G306" s="155" t="s">
        <v>65</v>
      </c>
      <c r="H306" s="27">
        <f>1.33+7.33+5.416-0.083</f>
        <v>13.993</v>
      </c>
      <c r="I306" s="55">
        <f t="shared" si="14"/>
        <v>186.80655000000002</v>
      </c>
      <c r="J306" s="59"/>
      <c r="K306" s="4"/>
      <c r="L306" s="4"/>
      <c r="M306" s="4"/>
      <c r="N306" s="4"/>
      <c r="O306" s="4"/>
      <c r="P306" s="4"/>
      <c r="Q306" s="4"/>
      <c r="AK306" s="44">
        <f t="shared" si="12"/>
        <v>2.67</v>
      </c>
    </row>
    <row r="307" spans="2:37" ht="12.75" customHeight="1">
      <c r="B307" s="26">
        <f t="shared" si="13"/>
        <v>299</v>
      </c>
      <c r="C307" s="41" t="s">
        <v>468</v>
      </c>
      <c r="D307" s="39"/>
      <c r="E307" s="53">
        <f>TRUNC(4/1+1.9)</f>
        <v>5</v>
      </c>
      <c r="F307" s="139">
        <v>7</v>
      </c>
      <c r="G307" s="155" t="s">
        <v>57</v>
      </c>
      <c r="H307" s="27">
        <f>7.33*2</f>
        <v>14.66</v>
      </c>
      <c r="I307" s="55">
        <f t="shared" si="14"/>
        <v>149.8252</v>
      </c>
      <c r="J307" s="59"/>
      <c r="K307" s="4"/>
      <c r="L307" s="4"/>
      <c r="M307" s="4"/>
      <c r="N307" s="4"/>
      <c r="O307" s="4"/>
      <c r="P307" s="4"/>
      <c r="Q307" s="4"/>
      <c r="AK307" s="44">
        <f t="shared" si="12"/>
        <v>2.044</v>
      </c>
    </row>
    <row r="308" spans="2:37" ht="12.75" customHeight="1">
      <c r="B308" s="26">
        <f t="shared" si="13"/>
        <v>300</v>
      </c>
      <c r="C308" s="41" t="s">
        <v>470</v>
      </c>
      <c r="D308" s="39"/>
      <c r="E308" s="53">
        <f>TRUNC(4/1+1.9)</f>
        <v>5</v>
      </c>
      <c r="F308" s="139">
        <v>5</v>
      </c>
      <c r="G308" s="155" t="s">
        <v>57</v>
      </c>
      <c r="H308" s="27">
        <f>4.916+2-0.083</f>
        <v>6.8330000000000002</v>
      </c>
      <c r="I308" s="55">
        <f t="shared" si="14"/>
        <v>35.634094999999995</v>
      </c>
      <c r="J308" s="59"/>
      <c r="K308" s="4"/>
      <c r="L308" s="4"/>
      <c r="M308" s="4"/>
      <c r="N308" s="4"/>
      <c r="O308" s="4"/>
      <c r="P308" s="4"/>
      <c r="Q308" s="4"/>
      <c r="AK308" s="44">
        <f t="shared" si="12"/>
        <v>1.0429999999999999</v>
      </c>
    </row>
    <row r="309" spans="2:37" ht="12.75" customHeight="1">
      <c r="B309" s="26">
        <f t="shared" si="13"/>
        <v>301</v>
      </c>
      <c r="C309" s="41" t="s">
        <v>469</v>
      </c>
      <c r="D309" s="39"/>
      <c r="E309" s="53">
        <f>TRUNC(4/0.83+1.9)</f>
        <v>6</v>
      </c>
      <c r="F309" s="139">
        <v>7</v>
      </c>
      <c r="G309" s="155" t="s">
        <v>65</v>
      </c>
      <c r="H309" s="27">
        <f>1.167+5.75*2</f>
        <v>12.667</v>
      </c>
      <c r="I309" s="55">
        <f t="shared" si="14"/>
        <v>155.34808800000002</v>
      </c>
      <c r="J309" s="59"/>
      <c r="K309" s="4"/>
      <c r="L309" s="4"/>
      <c r="M309" s="4"/>
      <c r="N309" s="4"/>
      <c r="O309" s="4"/>
      <c r="P309" s="4"/>
      <c r="Q309" s="4"/>
      <c r="AK309" s="44">
        <f t="shared" si="12"/>
        <v>2.044</v>
      </c>
    </row>
    <row r="310" spans="2:37" ht="12.75" customHeight="1">
      <c r="B310" s="26">
        <f t="shared" si="13"/>
        <v>302</v>
      </c>
      <c r="C310" s="28" t="s">
        <v>446</v>
      </c>
      <c r="D310" s="39"/>
      <c r="E310" s="39"/>
      <c r="F310" s="139"/>
      <c r="G310" s="155"/>
      <c r="H310" s="27"/>
      <c r="I310" s="55">
        <f t="shared" si="14"/>
        <v>0</v>
      </c>
      <c r="J310" s="59"/>
      <c r="L310" s="4"/>
      <c r="M310" s="4"/>
      <c r="N310" s="4"/>
      <c r="O310" s="4"/>
      <c r="P310" s="4"/>
      <c r="Q310" s="4"/>
      <c r="AK310" s="44">
        <f t="shared" si="12"/>
        <v>0</v>
      </c>
    </row>
    <row r="311" spans="2:37" ht="12.75" customHeight="1">
      <c r="B311" s="26">
        <f t="shared" si="13"/>
        <v>303</v>
      </c>
      <c r="C311" s="41" t="s">
        <v>468</v>
      </c>
      <c r="D311" s="39"/>
      <c r="E311" s="53">
        <f>TRUNC(6/1+1.9)</f>
        <v>7</v>
      </c>
      <c r="F311" s="139">
        <v>7</v>
      </c>
      <c r="G311" s="155" t="s">
        <v>65</v>
      </c>
      <c r="H311" s="27">
        <f>1.167+18+10.25-0.083</f>
        <v>29.334000000000003</v>
      </c>
      <c r="I311" s="55">
        <f t="shared" si="14"/>
        <v>419.71087200000005</v>
      </c>
      <c r="J311" s="59"/>
      <c r="K311" s="4"/>
      <c r="L311" s="4"/>
      <c r="M311" s="4"/>
      <c r="N311" s="4"/>
      <c r="O311" s="4"/>
      <c r="P311" s="4"/>
      <c r="Q311" s="4"/>
      <c r="AK311" s="44">
        <f t="shared" si="12"/>
        <v>2.044</v>
      </c>
    </row>
    <row r="312" spans="2:37" ht="12.75" customHeight="1">
      <c r="B312" s="26">
        <f t="shared" si="13"/>
        <v>304</v>
      </c>
      <c r="C312" s="41" t="s">
        <v>465</v>
      </c>
      <c r="D312" s="39"/>
      <c r="E312" s="53">
        <f>TRUNC(6/1+1.9)</f>
        <v>7</v>
      </c>
      <c r="F312" s="139">
        <v>6</v>
      </c>
      <c r="G312" s="155" t="s">
        <v>57</v>
      </c>
      <c r="H312" s="27">
        <f>10.25*2</f>
        <v>20.5</v>
      </c>
      <c r="I312" s="55">
        <f t="shared" si="14"/>
        <v>215.53700000000001</v>
      </c>
      <c r="J312" s="59"/>
      <c r="K312" s="4"/>
      <c r="L312" s="4"/>
      <c r="M312" s="4"/>
      <c r="N312" s="4"/>
      <c r="O312" s="4"/>
      <c r="P312" s="4"/>
      <c r="Q312" s="4"/>
      <c r="AK312" s="44">
        <f t="shared" si="12"/>
        <v>1.502</v>
      </c>
    </row>
    <row r="313" spans="2:37" ht="12.75" customHeight="1">
      <c r="B313" s="26">
        <f t="shared" si="13"/>
        <v>305</v>
      </c>
      <c r="C313" s="41" t="s">
        <v>465</v>
      </c>
      <c r="D313" s="39"/>
      <c r="E313" s="53">
        <f>TRUNC(6/1+1.9)</f>
        <v>7</v>
      </c>
      <c r="F313" s="139">
        <v>6</v>
      </c>
      <c r="G313" s="155" t="s">
        <v>57</v>
      </c>
      <c r="H313" s="27">
        <f>7+2-0.083</f>
        <v>8.9169999999999998</v>
      </c>
      <c r="I313" s="55">
        <f t="shared" si="14"/>
        <v>93.753337999999999</v>
      </c>
      <c r="J313" s="59"/>
      <c r="K313" s="4"/>
      <c r="L313" s="4"/>
      <c r="M313" s="4"/>
      <c r="N313" s="4"/>
      <c r="O313" s="4"/>
      <c r="P313" s="4"/>
      <c r="Q313" s="4"/>
      <c r="AK313" s="44">
        <f t="shared" si="12"/>
        <v>1.502</v>
      </c>
    </row>
    <row r="314" spans="2:37" ht="12.75" customHeight="1">
      <c r="B314" s="26">
        <f t="shared" si="13"/>
        <v>306</v>
      </c>
      <c r="C314" s="41" t="s">
        <v>471</v>
      </c>
      <c r="D314" s="39"/>
      <c r="E314" s="53">
        <f>TRUNC(6/0.75+1.9)</f>
        <v>9</v>
      </c>
      <c r="F314" s="139">
        <v>9</v>
      </c>
      <c r="G314" s="155" t="s">
        <v>57</v>
      </c>
      <c r="H314" s="27">
        <f>7.75*2</f>
        <v>15.5</v>
      </c>
      <c r="I314" s="55">
        <f t="shared" si="14"/>
        <v>474.29999999999995</v>
      </c>
      <c r="J314" s="59"/>
      <c r="K314" s="4"/>
      <c r="L314" s="4"/>
      <c r="M314" s="4"/>
      <c r="N314" s="4"/>
      <c r="O314" s="4"/>
      <c r="P314" s="4"/>
      <c r="Q314" s="4"/>
      <c r="AK314" s="44">
        <f t="shared" si="12"/>
        <v>3.4</v>
      </c>
    </row>
    <row r="315" spans="2:37" ht="12.75" customHeight="1">
      <c r="B315" s="26">
        <f t="shared" si="13"/>
        <v>307</v>
      </c>
      <c r="C315" s="41" t="s">
        <v>470</v>
      </c>
      <c r="D315" s="39"/>
      <c r="E315" s="53">
        <f>TRUNC(6/1+1.9)</f>
        <v>7</v>
      </c>
      <c r="F315" s="139">
        <v>5</v>
      </c>
      <c r="G315" s="155" t="s">
        <v>65</v>
      </c>
      <c r="H315" s="27">
        <f>0.83+8+2-0.083</f>
        <v>10.747</v>
      </c>
      <c r="I315" s="55">
        <f t="shared" si="14"/>
        <v>78.463847000000001</v>
      </c>
      <c r="J315" s="59"/>
      <c r="K315" s="4"/>
      <c r="L315" s="4"/>
      <c r="M315" s="4"/>
      <c r="N315" s="4"/>
      <c r="O315" s="4"/>
      <c r="P315" s="4"/>
      <c r="Q315" s="4"/>
      <c r="AK315" s="44">
        <f t="shared" si="12"/>
        <v>1.0429999999999999</v>
      </c>
    </row>
    <row r="316" spans="2:37" ht="12.75" customHeight="1">
      <c r="B316" s="26">
        <f t="shared" si="13"/>
        <v>308</v>
      </c>
      <c r="C316" s="41" t="s">
        <v>472</v>
      </c>
      <c r="D316" s="39"/>
      <c r="E316" s="53">
        <f>TRUNC(6/1+1.9)</f>
        <v>7</v>
      </c>
      <c r="F316" s="139">
        <v>9</v>
      </c>
      <c r="G316" s="155" t="s">
        <v>57</v>
      </c>
      <c r="H316" s="27">
        <f>10.25*2</f>
        <v>20.5</v>
      </c>
      <c r="I316" s="55">
        <f t="shared" si="14"/>
        <v>487.90000000000003</v>
      </c>
      <c r="J316" s="59"/>
      <c r="K316" s="4"/>
      <c r="L316" s="4"/>
      <c r="M316" s="4"/>
      <c r="N316" s="4"/>
      <c r="O316" s="4"/>
      <c r="P316" s="4"/>
      <c r="Q316" s="4"/>
      <c r="AK316" s="44">
        <f t="shared" si="12"/>
        <v>3.4</v>
      </c>
    </row>
    <row r="317" spans="2:37" ht="12.75" customHeight="1">
      <c r="B317" s="26">
        <f t="shared" si="13"/>
        <v>309</v>
      </c>
      <c r="C317" s="41" t="s">
        <v>467</v>
      </c>
      <c r="D317" s="39"/>
      <c r="E317" s="53">
        <f>TRUNC(6/1+1.9)</f>
        <v>7</v>
      </c>
      <c r="F317" s="139">
        <v>8</v>
      </c>
      <c r="G317" s="155" t="s">
        <v>57</v>
      </c>
      <c r="H317" s="27">
        <f>10.25*2</f>
        <v>20.5</v>
      </c>
      <c r="I317" s="55">
        <f t="shared" si="14"/>
        <v>383.14499999999998</v>
      </c>
      <c r="J317" s="59"/>
      <c r="K317" s="4"/>
      <c r="L317" s="4"/>
      <c r="M317" s="4"/>
      <c r="N317" s="4"/>
      <c r="O317" s="4"/>
      <c r="P317" s="4"/>
      <c r="Q317" s="4"/>
      <c r="AK317" s="44">
        <f t="shared" si="12"/>
        <v>2.67</v>
      </c>
    </row>
    <row r="318" spans="2:37" ht="12.75" customHeight="1">
      <c r="B318" s="26">
        <f t="shared" si="13"/>
        <v>310</v>
      </c>
      <c r="C318" s="28" t="s">
        <v>447</v>
      </c>
      <c r="D318" s="39"/>
      <c r="E318" s="39"/>
      <c r="F318" s="139"/>
      <c r="G318" s="155"/>
      <c r="H318" s="27"/>
      <c r="I318" s="55">
        <f t="shared" si="14"/>
        <v>0</v>
      </c>
      <c r="J318" s="59"/>
      <c r="K318" s="4"/>
      <c r="M318" s="4"/>
      <c r="N318" s="4"/>
      <c r="O318" s="4"/>
      <c r="P318" s="4"/>
      <c r="Q318" s="4"/>
      <c r="AK318" s="44">
        <f t="shared" si="12"/>
        <v>0</v>
      </c>
    </row>
    <row r="319" spans="2:37" ht="12.75" customHeight="1">
      <c r="B319" s="26">
        <f t="shared" si="13"/>
        <v>311</v>
      </c>
      <c r="C319" s="41" t="s">
        <v>470</v>
      </c>
      <c r="D319" s="39"/>
      <c r="E319" s="53">
        <f>TRUNC(13.25/1+1.9)</f>
        <v>15</v>
      </c>
      <c r="F319" s="139">
        <v>5</v>
      </c>
      <c r="G319" s="155" t="s">
        <v>65</v>
      </c>
      <c r="H319" s="27">
        <f>4.75+0.83-0.083</f>
        <v>5.4969999999999999</v>
      </c>
      <c r="I319" s="55">
        <f t="shared" si="14"/>
        <v>86.00056499999998</v>
      </c>
      <c r="J319" s="59"/>
      <c r="K319" s="4"/>
      <c r="L319" s="4"/>
      <c r="M319" s="4"/>
      <c r="N319" s="4"/>
      <c r="O319" s="4"/>
      <c r="P319" s="4"/>
      <c r="Q319" s="4"/>
      <c r="AK319" s="44">
        <f t="shared" si="12"/>
        <v>1.0429999999999999</v>
      </c>
    </row>
    <row r="320" spans="2:37" ht="12.75" customHeight="1">
      <c r="B320" s="26">
        <f t="shared" si="13"/>
        <v>312</v>
      </c>
      <c r="C320" s="41" t="s">
        <v>473</v>
      </c>
      <c r="D320" s="39"/>
      <c r="E320" s="53">
        <f>TRUNC(13.25/0.83+1.9)</f>
        <v>17</v>
      </c>
      <c r="F320" s="139">
        <v>6</v>
      </c>
      <c r="G320" s="155" t="s">
        <v>57</v>
      </c>
      <c r="H320" s="27">
        <f>7.33*2</f>
        <v>14.66</v>
      </c>
      <c r="I320" s="55">
        <f t="shared" si="14"/>
        <v>374.32844</v>
      </c>
      <c r="J320" s="59"/>
      <c r="K320" s="4"/>
      <c r="L320" s="4"/>
      <c r="M320" s="4"/>
      <c r="N320" s="4"/>
      <c r="O320" s="4"/>
      <c r="P320" s="4"/>
      <c r="Q320" s="4"/>
      <c r="AK320" s="44">
        <f t="shared" si="12"/>
        <v>1.502</v>
      </c>
    </row>
    <row r="321" spans="2:37" ht="12.75" customHeight="1">
      <c r="B321" s="26">
        <f t="shared" si="13"/>
        <v>313</v>
      </c>
      <c r="C321" s="41" t="s">
        <v>473</v>
      </c>
      <c r="D321" s="39"/>
      <c r="E321" s="53">
        <f>TRUNC(13.25/0.83+1.9)</f>
        <v>17</v>
      </c>
      <c r="F321" s="139">
        <v>6</v>
      </c>
      <c r="G321" s="155" t="s">
        <v>57</v>
      </c>
      <c r="H321" s="27">
        <f>29.75</f>
        <v>29.75</v>
      </c>
      <c r="I321" s="55">
        <f t="shared" si="14"/>
        <v>759.63649999999996</v>
      </c>
      <c r="J321" s="59"/>
      <c r="L321" s="4"/>
      <c r="M321" s="4"/>
      <c r="N321" s="4"/>
      <c r="O321" s="4"/>
      <c r="P321" s="4"/>
      <c r="Q321" s="4"/>
      <c r="AK321" s="44">
        <f t="shared" si="12"/>
        <v>1.502</v>
      </c>
    </row>
    <row r="322" spans="2:37" ht="12.75" customHeight="1">
      <c r="B322" s="26">
        <f t="shared" si="13"/>
        <v>314</v>
      </c>
      <c r="C322" s="41" t="s">
        <v>473</v>
      </c>
      <c r="D322" s="39"/>
      <c r="E322" s="53">
        <f>TRUNC(13.25/0.83+1.9)</f>
        <v>17</v>
      </c>
      <c r="F322" s="139">
        <v>6</v>
      </c>
      <c r="G322" s="155" t="s">
        <v>57</v>
      </c>
      <c r="H322" s="27">
        <f>5.75*2</f>
        <v>11.5</v>
      </c>
      <c r="I322" s="55">
        <f t="shared" si="14"/>
        <v>293.64100000000002</v>
      </c>
      <c r="J322" s="59"/>
      <c r="K322" s="4"/>
      <c r="L322" s="4"/>
      <c r="M322" s="4"/>
      <c r="N322" s="4"/>
      <c r="O322" s="4"/>
      <c r="P322" s="4"/>
      <c r="Q322" s="4"/>
      <c r="AK322" s="44">
        <f t="shared" si="12"/>
        <v>1.502</v>
      </c>
    </row>
    <row r="323" spans="2:37" ht="12.75" customHeight="1">
      <c r="B323" s="26">
        <f t="shared" si="13"/>
        <v>315</v>
      </c>
      <c r="C323" s="41" t="s">
        <v>470</v>
      </c>
      <c r="D323" s="39"/>
      <c r="E323" s="53">
        <f>TRUNC(13.25/1+1.9)</f>
        <v>15</v>
      </c>
      <c r="F323" s="139">
        <v>5</v>
      </c>
      <c r="G323" s="155" t="s">
        <v>65</v>
      </c>
      <c r="H323" s="27">
        <f>5.75+0.83-0.083</f>
        <v>6.4969999999999999</v>
      </c>
      <c r="I323" s="55">
        <f t="shared" si="14"/>
        <v>101.64556499999999</v>
      </c>
      <c r="J323" s="59"/>
      <c r="K323" s="4"/>
      <c r="L323" s="4"/>
      <c r="M323" s="4"/>
      <c r="N323" s="4"/>
      <c r="O323" s="4"/>
      <c r="P323" s="4"/>
      <c r="Q323" s="4"/>
      <c r="AK323" s="44">
        <f t="shared" si="12"/>
        <v>1.0429999999999999</v>
      </c>
    </row>
    <row r="324" spans="2:37" ht="12.75" customHeight="1">
      <c r="B324" s="26">
        <f t="shared" si="13"/>
        <v>316</v>
      </c>
      <c r="C324" s="28" t="s">
        <v>450</v>
      </c>
      <c r="D324" s="39"/>
      <c r="E324" s="39"/>
      <c r="F324" s="139"/>
      <c r="G324" s="155"/>
      <c r="H324" s="27"/>
      <c r="I324" s="55">
        <f t="shared" si="14"/>
        <v>0</v>
      </c>
      <c r="J324" s="59"/>
      <c r="L324" s="4"/>
      <c r="M324" s="4"/>
      <c r="N324" s="4"/>
      <c r="O324" s="4"/>
      <c r="P324" s="4"/>
      <c r="Q324" s="4"/>
      <c r="AK324" s="44">
        <f t="shared" si="12"/>
        <v>0</v>
      </c>
    </row>
    <row r="325" spans="2:37" ht="12.75" customHeight="1">
      <c r="B325" s="26">
        <f t="shared" si="13"/>
        <v>317</v>
      </c>
      <c r="C325" s="41" t="s">
        <v>470</v>
      </c>
      <c r="D325" s="39"/>
      <c r="E325" s="53">
        <f>TRUNC(14.67/1+1.9)</f>
        <v>16</v>
      </c>
      <c r="F325" s="139">
        <v>5</v>
      </c>
      <c r="G325" s="155" t="s">
        <v>65</v>
      </c>
      <c r="H325" s="27">
        <f>4.67+4.83+0.83-0.083</f>
        <v>10.247</v>
      </c>
      <c r="I325" s="55">
        <f t="shared" si="14"/>
        <v>171.00193599999997</v>
      </c>
      <c r="J325" s="59"/>
      <c r="K325" s="4"/>
      <c r="L325" s="4"/>
      <c r="M325" s="4"/>
      <c r="N325" s="4"/>
      <c r="O325" s="4"/>
      <c r="P325" s="4"/>
      <c r="Q325" s="4"/>
      <c r="AK325" s="44">
        <f t="shared" si="12"/>
        <v>1.0429999999999999</v>
      </c>
    </row>
    <row r="326" spans="2:37" ht="12.75" customHeight="1">
      <c r="B326" s="26">
        <f t="shared" si="13"/>
        <v>318</v>
      </c>
      <c r="C326" s="41" t="s">
        <v>474</v>
      </c>
      <c r="D326" s="39"/>
      <c r="E326" s="53">
        <f>TRUNC(14.67/0.5+1.9)</f>
        <v>31</v>
      </c>
      <c r="F326" s="139">
        <v>9</v>
      </c>
      <c r="G326" s="155" t="s">
        <v>57</v>
      </c>
      <c r="H326" s="27">
        <f>10.5*2</f>
        <v>21</v>
      </c>
      <c r="I326" s="55">
        <f t="shared" si="14"/>
        <v>2213.3999999999996</v>
      </c>
      <c r="J326" s="59"/>
      <c r="K326" s="4"/>
      <c r="L326" s="4"/>
      <c r="M326" s="4"/>
      <c r="N326" s="4"/>
      <c r="O326" s="4"/>
      <c r="P326" s="4"/>
      <c r="Q326" s="4"/>
      <c r="AK326" s="44">
        <f t="shared" si="12"/>
        <v>3.4</v>
      </c>
    </row>
    <row r="327" spans="2:37" ht="12.75" customHeight="1">
      <c r="B327" s="26">
        <f t="shared" si="13"/>
        <v>319</v>
      </c>
      <c r="C327" s="41" t="s">
        <v>468</v>
      </c>
      <c r="D327" s="39"/>
      <c r="E327" s="53">
        <f t="shared" ref="E327:E330" si="15">TRUNC(14.67/1+1.9)</f>
        <v>16</v>
      </c>
      <c r="F327" s="139">
        <v>7</v>
      </c>
      <c r="G327" s="155" t="s">
        <v>57</v>
      </c>
      <c r="H327" s="27">
        <f>10.5+17.416+6.11-0.083</f>
        <v>33.943000000000005</v>
      </c>
      <c r="I327" s="55">
        <f t="shared" si="14"/>
        <v>1110.0718720000002</v>
      </c>
      <c r="J327" s="59"/>
      <c r="K327" s="4"/>
      <c r="L327" s="4"/>
      <c r="M327" s="4"/>
      <c r="N327" s="4"/>
      <c r="O327" s="4"/>
      <c r="P327" s="4"/>
      <c r="Q327" s="4"/>
      <c r="AK327" s="44">
        <f t="shared" si="12"/>
        <v>2.044</v>
      </c>
    </row>
    <row r="328" spans="2:37" ht="12.75" customHeight="1">
      <c r="B328" s="26">
        <f t="shared" si="13"/>
        <v>320</v>
      </c>
      <c r="C328" s="41" t="s">
        <v>471</v>
      </c>
      <c r="D328" s="39"/>
      <c r="E328" s="53">
        <f>TRUNC(14.67/0.75+1.9)</f>
        <v>21</v>
      </c>
      <c r="F328" s="139">
        <v>9</v>
      </c>
      <c r="G328" s="155" t="s">
        <v>57</v>
      </c>
      <c r="H328" s="27">
        <f>8.5*2</f>
        <v>17</v>
      </c>
      <c r="I328" s="55">
        <f t="shared" si="14"/>
        <v>1213.8</v>
      </c>
      <c r="J328" s="59"/>
      <c r="K328" s="4"/>
      <c r="L328" s="4"/>
      <c r="M328" s="4"/>
      <c r="N328" s="4"/>
      <c r="O328" s="4"/>
      <c r="P328" s="4"/>
      <c r="Q328" s="4"/>
      <c r="AK328" s="44">
        <f t="shared" si="12"/>
        <v>3.4</v>
      </c>
    </row>
    <row r="329" spans="2:37" ht="12.75" customHeight="1">
      <c r="B329" s="26">
        <f t="shared" si="13"/>
        <v>321</v>
      </c>
      <c r="C329" s="41" t="s">
        <v>470</v>
      </c>
      <c r="D329" s="39"/>
      <c r="E329" s="53">
        <f t="shared" si="15"/>
        <v>16</v>
      </c>
      <c r="F329" s="139">
        <v>5</v>
      </c>
      <c r="G329" s="155" t="s">
        <v>65</v>
      </c>
      <c r="H329" s="27">
        <f>8.5+0.5-0.83</f>
        <v>8.17</v>
      </c>
      <c r="I329" s="55">
        <f t="shared" si="14"/>
        <v>136.34096</v>
      </c>
      <c r="J329" s="59"/>
      <c r="K329" s="4"/>
      <c r="M329" s="4"/>
      <c r="N329" s="4"/>
      <c r="O329" s="4"/>
      <c r="P329" s="4"/>
      <c r="Q329" s="4"/>
      <c r="AK329" s="44">
        <f t="shared" ref="AK329:AK392" si="16">IF(F329="",0,VLOOKUP(F329,$CI$16:$CJ$408,2,FALSE))</f>
        <v>1.0429999999999999</v>
      </c>
    </row>
    <row r="330" spans="2:37" ht="12.75" customHeight="1">
      <c r="B330" s="26">
        <f t="shared" ref="B330:B393" si="17">IF(B329="SL.NO",1,B329+1)</f>
        <v>322</v>
      </c>
      <c r="C330" s="41" t="s">
        <v>472</v>
      </c>
      <c r="D330" s="39"/>
      <c r="E330" s="53">
        <f t="shared" si="15"/>
        <v>16</v>
      </c>
      <c r="F330" s="139">
        <v>9</v>
      </c>
      <c r="G330" s="155" t="s">
        <v>65</v>
      </c>
      <c r="H330" s="27">
        <f>10.5*2</f>
        <v>21</v>
      </c>
      <c r="I330" s="55">
        <f t="shared" si="14"/>
        <v>1142.3999999999999</v>
      </c>
      <c r="J330" s="59"/>
      <c r="K330" s="4"/>
      <c r="L330" s="4"/>
      <c r="M330" s="4"/>
      <c r="N330" s="4"/>
      <c r="O330" s="4"/>
      <c r="P330" s="4"/>
      <c r="Q330" s="4"/>
      <c r="AK330" s="44">
        <f t="shared" si="16"/>
        <v>3.4</v>
      </c>
    </row>
    <row r="331" spans="2:37" ht="12.75" customHeight="1">
      <c r="B331" s="26">
        <f t="shared" si="17"/>
        <v>323</v>
      </c>
      <c r="C331" s="28" t="s">
        <v>452</v>
      </c>
      <c r="D331" s="39"/>
      <c r="E331" s="39"/>
      <c r="F331" s="139"/>
      <c r="G331" s="155"/>
      <c r="H331" s="27"/>
      <c r="I331" s="55">
        <f t="shared" si="14"/>
        <v>0</v>
      </c>
      <c r="J331" s="59"/>
      <c r="K331" s="4"/>
      <c r="L331" s="4"/>
      <c r="M331" s="4"/>
      <c r="N331" s="4"/>
      <c r="O331" s="4"/>
      <c r="P331" s="4"/>
      <c r="Q331" s="4"/>
      <c r="AK331" s="44">
        <f t="shared" si="16"/>
        <v>0</v>
      </c>
    </row>
    <row r="332" spans="2:37" ht="12.75" customHeight="1">
      <c r="B332" s="26">
        <f t="shared" si="17"/>
        <v>324</v>
      </c>
      <c r="C332" s="41" t="s">
        <v>470</v>
      </c>
      <c r="D332" s="39"/>
      <c r="E332" s="53">
        <f>TRUNC(13/1+1.9)</f>
        <v>14</v>
      </c>
      <c r="F332" s="139">
        <v>5</v>
      </c>
      <c r="G332" s="155" t="s">
        <v>65</v>
      </c>
      <c r="H332" s="27">
        <f>4.75+0.83-0.083</f>
        <v>5.4969999999999999</v>
      </c>
      <c r="I332" s="55">
        <f t="shared" si="14"/>
        <v>80.267193999999989</v>
      </c>
      <c r="J332" s="59"/>
      <c r="L332" s="4"/>
      <c r="M332" s="4"/>
      <c r="N332" s="4"/>
      <c r="O332" s="4"/>
      <c r="P332" s="4"/>
      <c r="Q332" s="4"/>
      <c r="AK332" s="44">
        <f t="shared" si="16"/>
        <v>1.0429999999999999</v>
      </c>
    </row>
    <row r="333" spans="2:37" ht="12.75" customHeight="1">
      <c r="B333" s="26">
        <f t="shared" si="17"/>
        <v>325</v>
      </c>
      <c r="C333" s="41" t="s">
        <v>473</v>
      </c>
      <c r="D333" s="39"/>
      <c r="E333" s="53">
        <f>TRUNC(13/0.83+1.9)</f>
        <v>17</v>
      </c>
      <c r="F333" s="139">
        <v>6</v>
      </c>
      <c r="G333" s="155" t="s">
        <v>57</v>
      </c>
      <c r="H333" s="27">
        <f>7.33*2</f>
        <v>14.66</v>
      </c>
      <c r="I333" s="55">
        <f t="shared" si="14"/>
        <v>374.32844</v>
      </c>
      <c r="J333" s="59"/>
      <c r="K333" s="4"/>
      <c r="L333" s="4"/>
      <c r="M333" s="4"/>
      <c r="N333" s="4"/>
      <c r="O333" s="4"/>
      <c r="P333" s="4"/>
      <c r="Q333" s="4"/>
      <c r="AK333" s="44">
        <f t="shared" si="16"/>
        <v>1.502</v>
      </c>
    </row>
    <row r="334" spans="2:37" ht="12.75" customHeight="1">
      <c r="B334" s="26">
        <f t="shared" si="17"/>
        <v>326</v>
      </c>
      <c r="C334" s="41" t="s">
        <v>473</v>
      </c>
      <c r="D334" s="39"/>
      <c r="E334" s="53">
        <f>TRUNC(13/0.83+1.9)</f>
        <v>17</v>
      </c>
      <c r="F334" s="139">
        <v>6</v>
      </c>
      <c r="G334" s="155" t="s">
        <v>57</v>
      </c>
      <c r="H334" s="27">
        <f>29.75</f>
        <v>29.75</v>
      </c>
      <c r="I334" s="55">
        <f t="shared" si="14"/>
        <v>759.63649999999996</v>
      </c>
      <c r="J334" s="59"/>
      <c r="K334" s="4"/>
      <c r="L334" s="4"/>
      <c r="M334" s="4"/>
      <c r="N334" s="4"/>
      <c r="O334" s="4"/>
      <c r="P334" s="4"/>
      <c r="Q334" s="4"/>
      <c r="AK334" s="44">
        <f t="shared" si="16"/>
        <v>1.502</v>
      </c>
    </row>
    <row r="335" spans="2:37" ht="12.75" customHeight="1">
      <c r="B335" s="26">
        <f t="shared" si="17"/>
        <v>327</v>
      </c>
      <c r="C335" s="41" t="s">
        <v>473</v>
      </c>
      <c r="D335" s="39"/>
      <c r="E335" s="53">
        <f>TRUNC(13/0.83+1.9)</f>
        <v>17</v>
      </c>
      <c r="F335" s="139">
        <v>6</v>
      </c>
      <c r="G335" s="155" t="s">
        <v>57</v>
      </c>
      <c r="H335" s="27">
        <f>5.75*2</f>
        <v>11.5</v>
      </c>
      <c r="I335" s="55">
        <f t="shared" si="14"/>
        <v>293.64100000000002</v>
      </c>
      <c r="J335" s="59"/>
      <c r="K335" s="4"/>
      <c r="L335" s="4"/>
      <c r="M335" s="4"/>
      <c r="N335" s="4"/>
      <c r="O335" s="4"/>
      <c r="P335" s="4"/>
      <c r="Q335" s="4"/>
      <c r="AK335" s="44">
        <f t="shared" si="16"/>
        <v>1.502</v>
      </c>
    </row>
    <row r="336" spans="2:37" ht="12.75" customHeight="1">
      <c r="B336" s="26">
        <f t="shared" si="17"/>
        <v>328</v>
      </c>
      <c r="C336" s="41" t="s">
        <v>470</v>
      </c>
      <c r="D336" s="39"/>
      <c r="E336" s="53">
        <f>TRUNC(13/1+1.9)</f>
        <v>14</v>
      </c>
      <c r="F336" s="139">
        <v>5</v>
      </c>
      <c r="G336" s="155" t="s">
        <v>65</v>
      </c>
      <c r="H336" s="27">
        <f>5.75+0.83-0.083</f>
        <v>6.4969999999999999</v>
      </c>
      <c r="I336" s="55">
        <f t="shared" ref="I336:I399" si="18">IF(D336="",AK336*H336*E336,AK336*H336*E336*D336)</f>
        <v>94.869193999999993</v>
      </c>
      <c r="J336" s="59"/>
      <c r="K336" s="4"/>
      <c r="L336" s="4"/>
      <c r="M336" s="4"/>
      <c r="N336" s="4"/>
      <c r="O336" s="4"/>
      <c r="P336" s="4"/>
      <c r="Q336" s="4"/>
      <c r="AK336" s="44">
        <f t="shared" si="16"/>
        <v>1.0429999999999999</v>
      </c>
    </row>
    <row r="337" spans="2:37" ht="12.75" customHeight="1">
      <c r="B337" s="26">
        <f t="shared" si="17"/>
        <v>329</v>
      </c>
      <c r="C337" s="28" t="s">
        <v>453</v>
      </c>
      <c r="D337" s="39"/>
      <c r="E337" s="39"/>
      <c r="F337" s="139"/>
      <c r="G337" s="155"/>
      <c r="H337" s="27"/>
      <c r="I337" s="55">
        <f t="shared" si="18"/>
        <v>0</v>
      </c>
      <c r="J337" s="59"/>
      <c r="L337" s="4"/>
      <c r="M337" s="4"/>
      <c r="N337" s="4"/>
      <c r="O337" s="4"/>
      <c r="P337" s="4"/>
      <c r="Q337" s="4"/>
      <c r="AK337" s="44">
        <f t="shared" si="16"/>
        <v>0</v>
      </c>
    </row>
    <row r="338" spans="2:37" ht="12.75" customHeight="1">
      <c r="B338" s="26">
        <f t="shared" si="17"/>
        <v>330</v>
      </c>
      <c r="C338" s="41" t="s">
        <v>470</v>
      </c>
      <c r="D338" s="39"/>
      <c r="E338" s="53">
        <f>TRUNC(14.67/1+1.9)</f>
        <v>16</v>
      </c>
      <c r="F338" s="139">
        <v>5</v>
      </c>
      <c r="G338" s="155" t="s">
        <v>65</v>
      </c>
      <c r="H338" s="27">
        <f>4.67+4.83+0.83-0.083</f>
        <v>10.247</v>
      </c>
      <c r="I338" s="55">
        <f t="shared" si="18"/>
        <v>171.00193599999997</v>
      </c>
      <c r="J338" s="59"/>
      <c r="K338" s="4"/>
      <c r="L338" s="4"/>
      <c r="M338" s="4"/>
      <c r="N338" s="4"/>
      <c r="O338" s="4"/>
      <c r="P338" s="4"/>
      <c r="Q338" s="4"/>
      <c r="AK338" s="44">
        <f t="shared" si="16"/>
        <v>1.0429999999999999</v>
      </c>
    </row>
    <row r="339" spans="2:37" ht="12.75" customHeight="1">
      <c r="B339" s="26">
        <f t="shared" si="17"/>
        <v>331</v>
      </c>
      <c r="C339" s="41" t="s">
        <v>474</v>
      </c>
      <c r="D339" s="39"/>
      <c r="E339" s="53">
        <f>TRUNC(14.67/0.5+1.9)</f>
        <v>31</v>
      </c>
      <c r="F339" s="139">
        <v>9</v>
      </c>
      <c r="G339" s="155" t="s">
        <v>57</v>
      </c>
      <c r="H339" s="27">
        <f>10.5*2</f>
        <v>21</v>
      </c>
      <c r="I339" s="55">
        <f t="shared" si="18"/>
        <v>2213.3999999999996</v>
      </c>
      <c r="J339" s="59"/>
      <c r="K339" s="4"/>
      <c r="L339" s="4"/>
      <c r="M339" s="4"/>
      <c r="N339" s="4"/>
      <c r="O339" s="4"/>
      <c r="P339" s="4"/>
      <c r="Q339" s="4"/>
      <c r="AK339" s="44">
        <f t="shared" si="16"/>
        <v>3.4</v>
      </c>
    </row>
    <row r="340" spans="2:37" ht="12.75" customHeight="1">
      <c r="B340" s="26">
        <f t="shared" si="17"/>
        <v>332</v>
      </c>
      <c r="C340" s="41" t="s">
        <v>468</v>
      </c>
      <c r="D340" s="39"/>
      <c r="E340" s="53">
        <f t="shared" ref="E340:E342" si="19">TRUNC(14.67/1+1.9)</f>
        <v>16</v>
      </c>
      <c r="F340" s="139">
        <v>7</v>
      </c>
      <c r="G340" s="155" t="s">
        <v>57</v>
      </c>
      <c r="H340" s="27">
        <f>10.5+17.416+6.11-0.083</f>
        <v>33.943000000000005</v>
      </c>
      <c r="I340" s="55">
        <f t="shared" si="18"/>
        <v>1110.0718720000002</v>
      </c>
      <c r="J340" s="59"/>
      <c r="K340" s="4"/>
      <c r="L340" s="4"/>
      <c r="M340" s="4"/>
      <c r="N340" s="4"/>
      <c r="O340" s="4"/>
      <c r="P340" s="4"/>
      <c r="Q340" s="4"/>
      <c r="AK340" s="44">
        <f t="shared" si="16"/>
        <v>2.044</v>
      </c>
    </row>
    <row r="341" spans="2:37" ht="12.75" customHeight="1">
      <c r="B341" s="26">
        <f t="shared" si="17"/>
        <v>333</v>
      </c>
      <c r="C341" s="41" t="s">
        <v>471</v>
      </c>
      <c r="D341" s="39"/>
      <c r="E341" s="53">
        <f>TRUNC(14.67/0.75+1.9)</f>
        <v>21</v>
      </c>
      <c r="F341" s="139">
        <v>9</v>
      </c>
      <c r="G341" s="155" t="s">
        <v>57</v>
      </c>
      <c r="H341" s="27">
        <f>8.5*2</f>
        <v>17</v>
      </c>
      <c r="I341" s="55">
        <f t="shared" si="18"/>
        <v>1213.8</v>
      </c>
      <c r="J341" s="59"/>
      <c r="K341" s="4"/>
      <c r="M341" s="4"/>
      <c r="N341" s="4"/>
      <c r="O341" s="4"/>
      <c r="P341" s="4"/>
      <c r="Q341" s="4"/>
      <c r="AK341" s="44">
        <f t="shared" si="16"/>
        <v>3.4</v>
      </c>
    </row>
    <row r="342" spans="2:37" ht="12.75" customHeight="1">
      <c r="B342" s="26">
        <f t="shared" si="17"/>
        <v>334</v>
      </c>
      <c r="C342" s="41" t="s">
        <v>470</v>
      </c>
      <c r="D342" s="39"/>
      <c r="E342" s="53">
        <f t="shared" si="19"/>
        <v>16</v>
      </c>
      <c r="F342" s="139">
        <v>5</v>
      </c>
      <c r="G342" s="155" t="s">
        <v>65</v>
      </c>
      <c r="H342" s="27">
        <f>8.5+0.5-0.83</f>
        <v>8.17</v>
      </c>
      <c r="I342" s="55">
        <f t="shared" si="18"/>
        <v>136.34096</v>
      </c>
      <c r="J342" s="59"/>
      <c r="K342" s="4"/>
      <c r="L342" s="4"/>
      <c r="M342" s="4"/>
      <c r="N342" s="4"/>
      <c r="O342" s="4"/>
      <c r="P342" s="4"/>
      <c r="Q342" s="4"/>
      <c r="AK342" s="44">
        <f t="shared" si="16"/>
        <v>1.0429999999999999</v>
      </c>
    </row>
    <row r="343" spans="2:37" ht="12.75" customHeight="1">
      <c r="B343" s="26">
        <f t="shared" si="17"/>
        <v>335</v>
      </c>
      <c r="C343" s="28" t="s">
        <v>454</v>
      </c>
      <c r="D343" s="39"/>
      <c r="E343" s="39"/>
      <c r="F343" s="139"/>
      <c r="G343" s="155"/>
      <c r="H343" s="27"/>
      <c r="I343" s="55">
        <f t="shared" si="18"/>
        <v>0</v>
      </c>
      <c r="J343" s="59"/>
      <c r="K343" s="4"/>
      <c r="L343" s="4"/>
      <c r="M343" s="4"/>
      <c r="N343" s="4"/>
      <c r="O343" s="4"/>
      <c r="P343" s="4"/>
      <c r="Q343" s="4"/>
      <c r="AK343" s="44">
        <f t="shared" si="16"/>
        <v>0</v>
      </c>
    </row>
    <row r="344" spans="2:37" ht="12.75" customHeight="1">
      <c r="B344" s="26">
        <f t="shared" si="17"/>
        <v>336</v>
      </c>
      <c r="C344" s="41" t="s">
        <v>470</v>
      </c>
      <c r="D344" s="39"/>
      <c r="E344" s="53">
        <f>TRUNC(13/1+1.9)</f>
        <v>14</v>
      </c>
      <c r="F344" s="139">
        <v>5</v>
      </c>
      <c r="G344" s="155" t="s">
        <v>65</v>
      </c>
      <c r="H344" s="27">
        <f>4.75+0.83-0.083</f>
        <v>5.4969999999999999</v>
      </c>
      <c r="I344" s="55">
        <f t="shared" si="18"/>
        <v>80.267193999999989</v>
      </c>
      <c r="J344" s="59"/>
      <c r="L344" s="4"/>
      <c r="M344" s="4"/>
      <c r="N344" s="4"/>
      <c r="O344" s="4"/>
      <c r="P344" s="4"/>
      <c r="Q344" s="4"/>
      <c r="AK344" s="44">
        <f t="shared" si="16"/>
        <v>1.0429999999999999</v>
      </c>
    </row>
    <row r="345" spans="2:37" ht="12.75" customHeight="1">
      <c r="B345" s="26">
        <f t="shared" si="17"/>
        <v>337</v>
      </c>
      <c r="C345" s="41" t="s">
        <v>473</v>
      </c>
      <c r="D345" s="39"/>
      <c r="E345" s="53">
        <f>TRUNC(13/0.83+1.9)</f>
        <v>17</v>
      </c>
      <c r="F345" s="139">
        <v>6</v>
      </c>
      <c r="G345" s="155" t="s">
        <v>57</v>
      </c>
      <c r="H345" s="27">
        <f>7.33*2</f>
        <v>14.66</v>
      </c>
      <c r="I345" s="55">
        <f t="shared" si="18"/>
        <v>374.32844</v>
      </c>
      <c r="J345" s="59"/>
      <c r="K345" s="4"/>
      <c r="L345" s="4"/>
      <c r="M345" s="4"/>
      <c r="N345" s="4"/>
      <c r="O345" s="4"/>
      <c r="P345" s="4"/>
      <c r="Q345" s="4"/>
      <c r="AK345" s="44">
        <f t="shared" si="16"/>
        <v>1.502</v>
      </c>
    </row>
    <row r="346" spans="2:37" ht="12.75" customHeight="1">
      <c r="B346" s="26">
        <f t="shared" si="17"/>
        <v>338</v>
      </c>
      <c r="C346" s="41" t="s">
        <v>473</v>
      </c>
      <c r="D346" s="39"/>
      <c r="E346" s="53">
        <f>TRUNC(13/0.83+1.9)</f>
        <v>17</v>
      </c>
      <c r="F346" s="139">
        <v>6</v>
      </c>
      <c r="G346" s="155" t="s">
        <v>57</v>
      </c>
      <c r="H346" s="27">
        <f>29.75</f>
        <v>29.75</v>
      </c>
      <c r="I346" s="55">
        <f t="shared" si="18"/>
        <v>759.63649999999996</v>
      </c>
      <c r="J346" s="59"/>
      <c r="K346" s="4"/>
      <c r="L346" s="4"/>
      <c r="M346" s="4"/>
      <c r="N346" s="4"/>
      <c r="O346" s="4"/>
      <c r="P346" s="4"/>
      <c r="Q346" s="4"/>
      <c r="AK346" s="44">
        <f t="shared" si="16"/>
        <v>1.502</v>
      </c>
    </row>
    <row r="347" spans="2:37" ht="12.75" customHeight="1">
      <c r="B347" s="26">
        <f t="shared" si="17"/>
        <v>339</v>
      </c>
      <c r="C347" s="41" t="s">
        <v>473</v>
      </c>
      <c r="D347" s="39"/>
      <c r="E347" s="53">
        <f>TRUNC(13/0.83+1.9)</f>
        <v>17</v>
      </c>
      <c r="F347" s="139">
        <v>6</v>
      </c>
      <c r="G347" s="155" t="s">
        <v>57</v>
      </c>
      <c r="H347" s="27">
        <f>5.75*2</f>
        <v>11.5</v>
      </c>
      <c r="I347" s="55">
        <f t="shared" si="18"/>
        <v>293.64100000000002</v>
      </c>
      <c r="J347" s="59"/>
      <c r="K347" s="4"/>
      <c r="L347" s="4"/>
      <c r="M347" s="4"/>
      <c r="N347" s="4"/>
      <c r="O347" s="4"/>
      <c r="P347" s="4"/>
      <c r="Q347" s="4"/>
      <c r="AK347" s="44">
        <f t="shared" si="16"/>
        <v>1.502</v>
      </c>
    </row>
    <row r="348" spans="2:37" ht="12.75" customHeight="1">
      <c r="B348" s="26">
        <f t="shared" si="17"/>
        <v>340</v>
      </c>
      <c r="C348" s="41" t="s">
        <v>470</v>
      </c>
      <c r="D348" s="39"/>
      <c r="E348" s="53">
        <f>TRUNC(13/1+1.9)</f>
        <v>14</v>
      </c>
      <c r="F348" s="139">
        <v>5</v>
      </c>
      <c r="G348" s="155" t="s">
        <v>65</v>
      </c>
      <c r="H348" s="27">
        <f>5.75+0.83-0.083</f>
        <v>6.4969999999999999</v>
      </c>
      <c r="I348" s="55">
        <f t="shared" si="18"/>
        <v>94.869193999999993</v>
      </c>
      <c r="J348" s="59"/>
      <c r="K348" s="4"/>
      <c r="L348" s="4"/>
      <c r="M348" s="4"/>
      <c r="N348" s="4"/>
      <c r="O348" s="4"/>
      <c r="P348" s="4"/>
      <c r="Q348" s="4"/>
      <c r="AK348" s="44">
        <f t="shared" si="16"/>
        <v>1.0429999999999999</v>
      </c>
    </row>
    <row r="349" spans="2:37" ht="12.75" customHeight="1">
      <c r="B349" s="26">
        <f t="shared" si="17"/>
        <v>341</v>
      </c>
      <c r="C349" s="28" t="s">
        <v>455</v>
      </c>
      <c r="D349" s="39"/>
      <c r="E349" s="39"/>
      <c r="F349" s="139"/>
      <c r="G349" s="155"/>
      <c r="H349" s="27"/>
      <c r="I349" s="55">
        <f t="shared" si="18"/>
        <v>0</v>
      </c>
      <c r="J349" s="59"/>
      <c r="L349" s="4"/>
      <c r="M349" s="4"/>
      <c r="N349" s="4"/>
      <c r="O349" s="4"/>
      <c r="P349" s="4"/>
      <c r="Q349" s="4"/>
      <c r="AK349" s="44">
        <f t="shared" si="16"/>
        <v>0</v>
      </c>
    </row>
    <row r="350" spans="2:37" ht="12.75" customHeight="1">
      <c r="B350" s="26">
        <f t="shared" si="17"/>
        <v>342</v>
      </c>
      <c r="C350" s="41" t="s">
        <v>470</v>
      </c>
      <c r="D350" s="39"/>
      <c r="E350" s="53">
        <f>TRUNC(13.33/1+1.9)</f>
        <v>15</v>
      </c>
      <c r="F350" s="139">
        <v>5</v>
      </c>
      <c r="G350" s="155" t="s">
        <v>65</v>
      </c>
      <c r="H350" s="27">
        <f>4.67+4.83+0.83-0.083</f>
        <v>10.247</v>
      </c>
      <c r="I350" s="55">
        <f t="shared" si="18"/>
        <v>160.31431499999997</v>
      </c>
      <c r="J350" s="59"/>
      <c r="K350" s="4"/>
      <c r="L350" s="4"/>
      <c r="M350" s="4"/>
      <c r="N350" s="4"/>
      <c r="O350" s="4"/>
      <c r="P350" s="4"/>
      <c r="Q350" s="4"/>
      <c r="AK350" s="44">
        <f t="shared" si="16"/>
        <v>1.0429999999999999</v>
      </c>
    </row>
    <row r="351" spans="2:37" ht="12.75" customHeight="1">
      <c r="B351" s="26">
        <f t="shared" si="17"/>
        <v>343</v>
      </c>
      <c r="C351" s="41" t="s">
        <v>474</v>
      </c>
      <c r="D351" s="39"/>
      <c r="E351" s="53">
        <f>TRUNC(13.33/0.5+1.9)</f>
        <v>28</v>
      </c>
      <c r="F351" s="139">
        <v>9</v>
      </c>
      <c r="G351" s="155" t="s">
        <v>57</v>
      </c>
      <c r="H351" s="27">
        <f>10.5*2</f>
        <v>21</v>
      </c>
      <c r="I351" s="55">
        <f t="shared" si="18"/>
        <v>1999.1999999999998</v>
      </c>
      <c r="J351" s="59"/>
      <c r="K351" s="4"/>
      <c r="L351" s="4"/>
      <c r="M351" s="4"/>
      <c r="N351" s="4"/>
      <c r="O351" s="4"/>
      <c r="P351" s="4"/>
      <c r="Q351" s="4"/>
      <c r="AK351" s="44">
        <f t="shared" si="16"/>
        <v>3.4</v>
      </c>
    </row>
    <row r="352" spans="2:37" ht="12.75" customHeight="1">
      <c r="B352" s="26">
        <f t="shared" si="17"/>
        <v>344</v>
      </c>
      <c r="C352" s="41" t="s">
        <v>468</v>
      </c>
      <c r="D352" s="39"/>
      <c r="E352" s="53">
        <f>TRUNC(13.33/1+1.9)</f>
        <v>15</v>
      </c>
      <c r="F352" s="139">
        <v>7</v>
      </c>
      <c r="G352" s="155" t="s">
        <v>57</v>
      </c>
      <c r="H352" s="27">
        <f>10.5+17.416+6.11-0.083</f>
        <v>33.943000000000005</v>
      </c>
      <c r="I352" s="55">
        <f t="shared" si="18"/>
        <v>1040.6923800000002</v>
      </c>
      <c r="J352" s="59"/>
      <c r="K352" s="4"/>
      <c r="L352" s="4"/>
      <c r="M352" s="4"/>
      <c r="N352" s="4"/>
      <c r="O352" s="4"/>
      <c r="P352" s="4"/>
      <c r="Q352" s="4"/>
      <c r="AK352" s="44">
        <f t="shared" si="16"/>
        <v>2.044</v>
      </c>
    </row>
    <row r="353" spans="2:37" ht="12.75" customHeight="1">
      <c r="B353" s="26">
        <f t="shared" si="17"/>
        <v>345</v>
      </c>
      <c r="C353" s="41" t="s">
        <v>471</v>
      </c>
      <c r="D353" s="39"/>
      <c r="E353" s="53">
        <f>TRUNC(13.33/0.75+1.9)</f>
        <v>19</v>
      </c>
      <c r="F353" s="139">
        <v>9</v>
      </c>
      <c r="G353" s="155" t="s">
        <v>57</v>
      </c>
      <c r="H353" s="27">
        <f>8.5*2</f>
        <v>17</v>
      </c>
      <c r="I353" s="55">
        <f t="shared" si="18"/>
        <v>1098.2</v>
      </c>
      <c r="J353" s="59"/>
      <c r="K353" s="4"/>
      <c r="L353" s="4"/>
      <c r="M353" s="4"/>
      <c r="N353" s="4"/>
      <c r="O353" s="4"/>
      <c r="P353" s="4"/>
      <c r="Q353" s="4"/>
      <c r="AK353" s="44">
        <f t="shared" si="16"/>
        <v>3.4</v>
      </c>
    </row>
    <row r="354" spans="2:37" ht="12.75" customHeight="1">
      <c r="B354" s="26">
        <f t="shared" si="17"/>
        <v>346</v>
      </c>
      <c r="C354" s="41" t="s">
        <v>470</v>
      </c>
      <c r="D354" s="39"/>
      <c r="E354" s="53">
        <f>TRUNC(13.33/1+1.9)</f>
        <v>15</v>
      </c>
      <c r="F354" s="139">
        <v>5</v>
      </c>
      <c r="G354" s="155" t="s">
        <v>65</v>
      </c>
      <c r="H354" s="27">
        <f>8.5+0.5-0.83</f>
        <v>8.17</v>
      </c>
      <c r="I354" s="55">
        <f t="shared" si="18"/>
        <v>127.81965</v>
      </c>
      <c r="J354" s="59"/>
      <c r="K354" s="4"/>
      <c r="L354" s="4"/>
      <c r="M354" s="4"/>
      <c r="N354" s="4"/>
      <c r="O354" s="4"/>
      <c r="P354" s="4"/>
      <c r="Q354" s="4"/>
      <c r="AK354" s="44">
        <f t="shared" si="16"/>
        <v>1.0429999999999999</v>
      </c>
    </row>
    <row r="355" spans="2:37" ht="12.75" customHeight="1">
      <c r="B355" s="26">
        <f t="shared" si="17"/>
        <v>347</v>
      </c>
      <c r="C355" s="28" t="s">
        <v>456</v>
      </c>
      <c r="D355" s="39"/>
      <c r="E355" s="39"/>
      <c r="F355" s="139"/>
      <c r="G355" s="155"/>
      <c r="H355" s="27"/>
      <c r="I355" s="55">
        <f t="shared" si="18"/>
        <v>0</v>
      </c>
      <c r="J355" s="59"/>
      <c r="K355" s="4"/>
      <c r="L355" s="4"/>
      <c r="M355" s="4"/>
      <c r="N355" s="4"/>
      <c r="O355" s="4"/>
      <c r="P355" s="4"/>
      <c r="Q355" s="4"/>
      <c r="AK355" s="44">
        <f t="shared" si="16"/>
        <v>0</v>
      </c>
    </row>
    <row r="356" spans="2:37" ht="12.75" customHeight="1">
      <c r="B356" s="26">
        <f t="shared" si="17"/>
        <v>348</v>
      </c>
      <c r="C356" s="41" t="s">
        <v>470</v>
      </c>
      <c r="D356" s="39"/>
      <c r="E356" s="53">
        <f>TRUNC(13.5/1+1.9)</f>
        <v>15</v>
      </c>
      <c r="F356" s="139">
        <v>5</v>
      </c>
      <c r="G356" s="155" t="s">
        <v>65</v>
      </c>
      <c r="H356" s="27">
        <f>4.45+0.5+0.83-0.083</f>
        <v>5.6970000000000001</v>
      </c>
      <c r="I356" s="55">
        <f t="shared" si="18"/>
        <v>89.129564999999999</v>
      </c>
      <c r="J356" s="59"/>
      <c r="K356" s="4"/>
      <c r="L356" s="4"/>
      <c r="M356" s="4"/>
      <c r="N356" s="4"/>
      <c r="O356" s="4"/>
      <c r="P356" s="4"/>
      <c r="Q356" s="4"/>
      <c r="AK356" s="44">
        <f t="shared" si="16"/>
        <v>1.0429999999999999</v>
      </c>
    </row>
    <row r="357" spans="2:37" ht="12.75" customHeight="1">
      <c r="B357" s="26">
        <f t="shared" si="17"/>
        <v>349</v>
      </c>
      <c r="C357" s="41" t="s">
        <v>465</v>
      </c>
      <c r="D357" s="39"/>
      <c r="E357" s="53">
        <f>TRUNC(13.5/1+1.9)</f>
        <v>15</v>
      </c>
      <c r="F357" s="139">
        <v>6</v>
      </c>
      <c r="G357" s="155" t="s">
        <v>57</v>
      </c>
      <c r="H357" s="27">
        <f>7.5*2</f>
        <v>15</v>
      </c>
      <c r="I357" s="55">
        <f t="shared" si="18"/>
        <v>337.95000000000005</v>
      </c>
      <c r="J357" s="59"/>
      <c r="K357" s="4"/>
      <c r="M357" s="4"/>
      <c r="N357" s="4"/>
      <c r="O357" s="4"/>
      <c r="P357" s="4"/>
      <c r="Q357" s="4"/>
      <c r="AK357" s="44">
        <f t="shared" si="16"/>
        <v>1.502</v>
      </c>
    </row>
    <row r="358" spans="2:37" ht="12.75" customHeight="1">
      <c r="B358" s="26">
        <f t="shared" si="17"/>
        <v>350</v>
      </c>
      <c r="C358" s="41" t="s">
        <v>465</v>
      </c>
      <c r="D358" s="39"/>
      <c r="E358" s="53">
        <f>TRUNC(13.5/1+1.9)</f>
        <v>15</v>
      </c>
      <c r="F358" s="139">
        <v>6</v>
      </c>
      <c r="G358" s="155" t="s">
        <v>57</v>
      </c>
      <c r="H358" s="27">
        <f>7.5*2</f>
        <v>15</v>
      </c>
      <c r="I358" s="55">
        <f t="shared" si="18"/>
        <v>337.95000000000005</v>
      </c>
      <c r="J358" s="59"/>
      <c r="K358" s="4"/>
      <c r="L358" s="4"/>
      <c r="M358" s="4"/>
      <c r="N358" s="4"/>
      <c r="O358" s="4"/>
      <c r="P358" s="4"/>
      <c r="Q358" s="4"/>
      <c r="AK358" s="44">
        <f t="shared" si="16"/>
        <v>1.502</v>
      </c>
    </row>
    <row r="359" spans="2:37" ht="12.75" customHeight="1">
      <c r="B359" s="26">
        <f t="shared" si="17"/>
        <v>351</v>
      </c>
      <c r="C359" s="41" t="s">
        <v>473</v>
      </c>
      <c r="D359" s="39"/>
      <c r="E359" s="53">
        <f>TRUNC(13/0.83+1.9)</f>
        <v>17</v>
      </c>
      <c r="F359" s="139">
        <v>6</v>
      </c>
      <c r="G359" s="155" t="s">
        <v>57</v>
      </c>
      <c r="H359" s="27">
        <f>5.75+4.416+14.83</f>
        <v>24.996000000000002</v>
      </c>
      <c r="I359" s="55">
        <f t="shared" si="18"/>
        <v>638.24786400000005</v>
      </c>
      <c r="J359" s="59"/>
      <c r="K359" s="4"/>
      <c r="L359" s="4"/>
      <c r="M359" s="4"/>
      <c r="N359" s="4"/>
      <c r="O359" s="4"/>
      <c r="P359" s="4"/>
      <c r="Q359" s="4"/>
      <c r="AK359" s="44">
        <f t="shared" si="16"/>
        <v>1.502</v>
      </c>
    </row>
    <row r="360" spans="2:37" ht="12.75" customHeight="1">
      <c r="B360" s="26">
        <f t="shared" si="17"/>
        <v>352</v>
      </c>
      <c r="C360" s="41" t="s">
        <v>470</v>
      </c>
      <c r="D360" s="39"/>
      <c r="E360" s="53">
        <f>TRUNC(13/1+1.9)</f>
        <v>14</v>
      </c>
      <c r="F360" s="139">
        <v>5</v>
      </c>
      <c r="G360" s="155" t="s">
        <v>65</v>
      </c>
      <c r="H360" s="27">
        <f>5.75+0.5+0.83-0.83</f>
        <v>6.25</v>
      </c>
      <c r="I360" s="55">
        <f t="shared" si="18"/>
        <v>91.262500000000003</v>
      </c>
      <c r="J360" s="59"/>
      <c r="L360" s="4"/>
      <c r="M360" s="4"/>
      <c r="N360" s="4"/>
      <c r="O360" s="4"/>
      <c r="P360" s="4"/>
      <c r="Q360" s="4"/>
      <c r="AK360" s="44">
        <f t="shared" si="16"/>
        <v>1.0429999999999999</v>
      </c>
    </row>
    <row r="361" spans="2:37" ht="12.75" customHeight="1">
      <c r="B361" s="26">
        <f t="shared" si="17"/>
        <v>353</v>
      </c>
      <c r="C361" s="28" t="s">
        <v>458</v>
      </c>
      <c r="D361" s="39"/>
      <c r="E361" s="39"/>
      <c r="F361" s="139"/>
      <c r="G361" s="155"/>
      <c r="H361" s="27"/>
      <c r="I361" s="55">
        <f t="shared" si="18"/>
        <v>0</v>
      </c>
      <c r="J361" s="59"/>
      <c r="K361" s="4"/>
      <c r="L361" s="4"/>
      <c r="M361" s="4"/>
      <c r="N361" s="4"/>
      <c r="O361" s="4"/>
      <c r="P361" s="4"/>
      <c r="Q361" s="4"/>
      <c r="AK361" s="44">
        <f t="shared" si="16"/>
        <v>0</v>
      </c>
    </row>
    <row r="362" spans="2:37" ht="12.75" customHeight="1">
      <c r="B362" s="26">
        <f t="shared" si="17"/>
        <v>354</v>
      </c>
      <c r="C362" s="41" t="s">
        <v>470</v>
      </c>
      <c r="D362" s="39"/>
      <c r="E362" s="53">
        <f>TRUNC(13.5/1+1.9)</f>
        <v>15</v>
      </c>
      <c r="F362" s="139">
        <v>5</v>
      </c>
      <c r="G362" s="155" t="s">
        <v>65</v>
      </c>
      <c r="H362" s="27">
        <f>6.25+1+0.83-0.083</f>
        <v>7.9969999999999999</v>
      </c>
      <c r="I362" s="55">
        <f t="shared" si="18"/>
        <v>125.11306500000001</v>
      </c>
      <c r="J362" s="59"/>
      <c r="K362" s="4"/>
      <c r="L362" s="4"/>
      <c r="M362" s="4"/>
      <c r="N362" s="4"/>
      <c r="O362" s="4"/>
      <c r="P362" s="4"/>
      <c r="Q362" s="4"/>
      <c r="AK362" s="44">
        <f t="shared" si="16"/>
        <v>1.0429999999999999</v>
      </c>
    </row>
    <row r="363" spans="2:37" ht="12.75" customHeight="1">
      <c r="B363" s="26">
        <f t="shared" si="17"/>
        <v>355</v>
      </c>
      <c r="C363" s="41" t="s">
        <v>475</v>
      </c>
      <c r="D363" s="39"/>
      <c r="E363" s="53">
        <f>TRUNC(13.5/0.83+1.9)</f>
        <v>18</v>
      </c>
      <c r="F363" s="139">
        <v>9</v>
      </c>
      <c r="G363" s="155" t="s">
        <v>57</v>
      </c>
      <c r="H363" s="27">
        <f>10.5*2</f>
        <v>21</v>
      </c>
      <c r="I363" s="55">
        <f t="shared" si="18"/>
        <v>1285.1999999999998</v>
      </c>
      <c r="J363" s="59"/>
      <c r="L363" s="4"/>
      <c r="M363" s="4"/>
      <c r="N363" s="4"/>
      <c r="O363" s="4"/>
      <c r="P363" s="4"/>
      <c r="Q363" s="4"/>
      <c r="AK363" s="44">
        <f t="shared" si="16"/>
        <v>3.4</v>
      </c>
    </row>
    <row r="364" spans="2:37" ht="12.75" customHeight="1">
      <c r="B364" s="26">
        <f t="shared" si="17"/>
        <v>356</v>
      </c>
      <c r="C364" s="41" t="s">
        <v>475</v>
      </c>
      <c r="D364" s="39"/>
      <c r="E364" s="53">
        <f>TRUNC(13.5/0.83+1.9)</f>
        <v>18</v>
      </c>
      <c r="F364" s="139">
        <v>9</v>
      </c>
      <c r="G364" s="155" t="s">
        <v>57</v>
      </c>
      <c r="H364" s="27">
        <f>10.5*2</f>
        <v>21</v>
      </c>
      <c r="I364" s="55">
        <f t="shared" si="18"/>
        <v>1285.1999999999998</v>
      </c>
      <c r="J364" s="59"/>
      <c r="K364" s="4"/>
      <c r="L364" s="4"/>
      <c r="M364" s="4"/>
      <c r="N364" s="4"/>
      <c r="O364" s="4"/>
      <c r="P364" s="4"/>
      <c r="Q364" s="4"/>
      <c r="AK364" s="44">
        <f t="shared" si="16"/>
        <v>3.4</v>
      </c>
    </row>
    <row r="365" spans="2:37" ht="12.75" customHeight="1">
      <c r="B365" s="26">
        <f t="shared" si="17"/>
        <v>357</v>
      </c>
      <c r="C365" s="41" t="s">
        <v>468</v>
      </c>
      <c r="D365" s="39"/>
      <c r="E365" s="53">
        <f>TRUNC(13.5/1+1.9)</f>
        <v>15</v>
      </c>
      <c r="F365" s="139">
        <v>7</v>
      </c>
      <c r="G365" s="155" t="s">
        <v>57</v>
      </c>
      <c r="H365" s="27">
        <v>33</v>
      </c>
      <c r="I365" s="55">
        <f t="shared" si="18"/>
        <v>1011.78</v>
      </c>
      <c r="J365" s="59"/>
      <c r="K365" s="4"/>
      <c r="L365" s="4"/>
      <c r="M365" s="4"/>
      <c r="N365" s="4"/>
      <c r="O365" s="4"/>
      <c r="P365" s="4"/>
      <c r="Q365" s="4"/>
      <c r="AK365" s="44">
        <f t="shared" si="16"/>
        <v>2.044</v>
      </c>
    </row>
    <row r="366" spans="2:37" ht="12.75" customHeight="1">
      <c r="B366" s="26">
        <f t="shared" si="17"/>
        <v>358</v>
      </c>
      <c r="C366" s="41" t="s">
        <v>475</v>
      </c>
      <c r="D366" s="39"/>
      <c r="E366" s="53">
        <f>TRUNC(13.5/0.83+1.9)</f>
        <v>18</v>
      </c>
      <c r="F366" s="139">
        <v>9</v>
      </c>
      <c r="G366" s="155" t="s">
        <v>57</v>
      </c>
      <c r="H366" s="27">
        <f>8.083*2</f>
        <v>16.166</v>
      </c>
      <c r="I366" s="55">
        <f t="shared" si="18"/>
        <v>989.35919999999999</v>
      </c>
      <c r="J366" s="59"/>
      <c r="K366" s="4"/>
      <c r="L366" s="4"/>
      <c r="M366" s="4"/>
      <c r="N366" s="4"/>
      <c r="O366" s="4"/>
      <c r="P366" s="4"/>
      <c r="Q366" s="4"/>
      <c r="AK366" s="44">
        <f t="shared" si="16"/>
        <v>3.4</v>
      </c>
    </row>
    <row r="367" spans="2:37" ht="12.75" customHeight="1">
      <c r="B367" s="26">
        <f t="shared" si="17"/>
        <v>359</v>
      </c>
      <c r="C367" s="41" t="s">
        <v>470</v>
      </c>
      <c r="D367" s="39"/>
      <c r="E367" s="53">
        <f>TRUNC(13.5/1+1.9)</f>
        <v>15</v>
      </c>
      <c r="F367" s="139">
        <v>5</v>
      </c>
      <c r="G367" s="155" t="s">
        <v>65</v>
      </c>
      <c r="H367" s="27">
        <f>8.08+0.5+0.83-0.083</f>
        <v>9.327</v>
      </c>
      <c r="I367" s="55">
        <f t="shared" si="18"/>
        <v>145.92091499999998</v>
      </c>
      <c r="J367" s="59"/>
      <c r="K367" s="4"/>
      <c r="L367" s="4"/>
      <c r="M367" s="4"/>
      <c r="N367" s="4"/>
      <c r="O367" s="4"/>
      <c r="P367" s="4"/>
      <c r="Q367" s="4"/>
      <c r="AK367" s="44">
        <f t="shared" si="16"/>
        <v>1.0429999999999999</v>
      </c>
    </row>
    <row r="368" spans="2:37" ht="12.75" customHeight="1">
      <c r="B368" s="26">
        <f t="shared" si="17"/>
        <v>360</v>
      </c>
      <c r="C368" s="41" t="s">
        <v>466</v>
      </c>
      <c r="D368" s="39"/>
      <c r="E368" s="53">
        <f>TRUNC(13.5/0.67+1.9)</f>
        <v>22</v>
      </c>
      <c r="F368" s="139">
        <v>9</v>
      </c>
      <c r="G368" s="155" t="s">
        <v>57</v>
      </c>
      <c r="H368" s="27">
        <f>26.5+1+1.5-0.083</f>
        <v>28.917000000000002</v>
      </c>
      <c r="I368" s="55">
        <f t="shared" si="18"/>
        <v>2162.9916000000003</v>
      </c>
      <c r="J368" s="59"/>
      <c r="K368" s="4"/>
      <c r="M368" s="4"/>
      <c r="N368" s="4"/>
      <c r="O368" s="4"/>
      <c r="P368" s="4"/>
      <c r="Q368" s="4"/>
      <c r="AK368" s="44">
        <f t="shared" si="16"/>
        <v>3.4</v>
      </c>
    </row>
    <row r="369" spans="2:37" ht="12.75" customHeight="1">
      <c r="B369" s="26">
        <f t="shared" si="17"/>
        <v>361</v>
      </c>
      <c r="C369" s="41" t="s">
        <v>465</v>
      </c>
      <c r="D369" s="39"/>
      <c r="E369" s="53">
        <f>TRUNC(13.5/1+1.9)</f>
        <v>15</v>
      </c>
      <c r="F369" s="139">
        <v>6</v>
      </c>
      <c r="G369" s="155" t="s">
        <v>57</v>
      </c>
      <c r="H369" s="27">
        <f>9*2</f>
        <v>18</v>
      </c>
      <c r="I369" s="55">
        <f t="shared" si="18"/>
        <v>405.54</v>
      </c>
      <c r="J369" s="59"/>
      <c r="K369" s="4"/>
      <c r="L369" s="4"/>
      <c r="M369" s="4"/>
      <c r="N369" s="4"/>
      <c r="O369" s="4"/>
      <c r="P369" s="4"/>
      <c r="Q369" s="4"/>
      <c r="AK369" s="44">
        <f t="shared" si="16"/>
        <v>1.502</v>
      </c>
    </row>
    <row r="370" spans="2:37" ht="12.75" customHeight="1">
      <c r="B370" s="26">
        <f t="shared" si="17"/>
        <v>362</v>
      </c>
      <c r="C370" s="41" t="s">
        <v>465</v>
      </c>
      <c r="D370" s="39"/>
      <c r="E370" s="53">
        <f>TRUNC(13.5/1+1.9)</f>
        <v>15</v>
      </c>
      <c r="F370" s="139">
        <v>6</v>
      </c>
      <c r="G370" s="155" t="s">
        <v>57</v>
      </c>
      <c r="H370" s="27">
        <f>16.583-0.083</f>
        <v>16.5</v>
      </c>
      <c r="I370" s="55">
        <f t="shared" si="18"/>
        <v>371.745</v>
      </c>
      <c r="J370" s="59"/>
      <c r="K370" s="4"/>
      <c r="L370" s="4"/>
      <c r="M370" s="4"/>
      <c r="N370" s="4"/>
      <c r="O370" s="4"/>
      <c r="P370" s="4"/>
      <c r="Q370" s="4"/>
      <c r="AK370" s="44">
        <f t="shared" si="16"/>
        <v>1.502</v>
      </c>
    </row>
    <row r="371" spans="2:37" ht="12.75" customHeight="1">
      <c r="B371" s="26">
        <f t="shared" si="17"/>
        <v>363</v>
      </c>
      <c r="C371" s="41" t="s">
        <v>465</v>
      </c>
      <c r="D371" s="39"/>
      <c r="E371" s="53">
        <f>TRUNC(13.5/1+1.9)</f>
        <v>15</v>
      </c>
      <c r="F371" s="139">
        <v>6</v>
      </c>
      <c r="G371" s="155" t="s">
        <v>57</v>
      </c>
      <c r="H371" s="27">
        <f>8.08+0.5+0.83-0.083</f>
        <v>9.327</v>
      </c>
      <c r="I371" s="55">
        <f t="shared" si="18"/>
        <v>210.13731000000001</v>
      </c>
      <c r="J371" s="59"/>
      <c r="L371" s="4"/>
      <c r="M371" s="4"/>
      <c r="N371" s="4"/>
      <c r="O371" s="4"/>
      <c r="P371" s="4"/>
      <c r="Q371" s="4"/>
      <c r="AK371" s="44">
        <f t="shared" si="16"/>
        <v>1.502</v>
      </c>
    </row>
    <row r="372" spans="2:37" ht="12.75" customHeight="1">
      <c r="B372" s="26">
        <f t="shared" si="17"/>
        <v>364</v>
      </c>
      <c r="C372" s="28" t="s">
        <v>460</v>
      </c>
      <c r="D372" s="39"/>
      <c r="E372" s="39"/>
      <c r="F372" s="139"/>
      <c r="G372" s="155"/>
      <c r="H372" s="27"/>
      <c r="I372" s="55">
        <f t="shared" si="18"/>
        <v>0</v>
      </c>
      <c r="J372" s="59"/>
      <c r="K372" s="4"/>
      <c r="L372" s="4"/>
      <c r="M372" s="4"/>
      <c r="N372" s="4"/>
      <c r="O372" s="4"/>
      <c r="P372" s="4"/>
      <c r="Q372" s="4"/>
      <c r="AK372" s="44">
        <f t="shared" si="16"/>
        <v>0</v>
      </c>
    </row>
    <row r="373" spans="2:37" ht="12.75" customHeight="1">
      <c r="B373" s="26">
        <f t="shared" si="17"/>
        <v>365</v>
      </c>
      <c r="C373" s="41" t="s">
        <v>470</v>
      </c>
      <c r="D373" s="39"/>
      <c r="E373" s="53">
        <f>TRUNC(7/1+1.9)</f>
        <v>8</v>
      </c>
      <c r="F373" s="139">
        <v>5</v>
      </c>
      <c r="G373" s="155" t="s">
        <v>65</v>
      </c>
      <c r="H373" s="27">
        <f>4.45+0.5+0.83-0.083</f>
        <v>5.6970000000000001</v>
      </c>
      <c r="I373" s="55">
        <f t="shared" si="18"/>
        <v>47.535767999999997</v>
      </c>
      <c r="J373" s="59"/>
      <c r="K373" s="4"/>
      <c r="L373" s="4"/>
      <c r="M373" s="4"/>
      <c r="N373" s="4"/>
      <c r="O373" s="4"/>
      <c r="P373" s="4"/>
      <c r="Q373" s="4"/>
      <c r="AK373" s="44">
        <f t="shared" si="16"/>
        <v>1.0429999999999999</v>
      </c>
    </row>
    <row r="374" spans="2:37" ht="12.75" customHeight="1">
      <c r="B374" s="26">
        <f t="shared" si="17"/>
        <v>366</v>
      </c>
      <c r="C374" s="41" t="s">
        <v>465</v>
      </c>
      <c r="D374" s="39"/>
      <c r="E374" s="53">
        <f>TRUNC(7/1+1.9)</f>
        <v>8</v>
      </c>
      <c r="F374" s="139">
        <v>6</v>
      </c>
      <c r="G374" s="155" t="s">
        <v>57</v>
      </c>
      <c r="H374" s="27">
        <f>7.5*2</f>
        <v>15</v>
      </c>
      <c r="I374" s="55">
        <f t="shared" si="18"/>
        <v>180.24</v>
      </c>
      <c r="J374" s="59"/>
      <c r="K374" s="4"/>
      <c r="L374" s="4"/>
      <c r="M374" s="4"/>
      <c r="N374" s="4"/>
      <c r="O374" s="4"/>
      <c r="P374" s="4"/>
      <c r="Q374" s="4"/>
      <c r="AK374" s="44">
        <f t="shared" si="16"/>
        <v>1.502</v>
      </c>
    </row>
    <row r="375" spans="2:37" ht="12.75" customHeight="1">
      <c r="B375" s="26">
        <f t="shared" si="17"/>
        <v>367</v>
      </c>
      <c r="C375" s="41" t="s">
        <v>465</v>
      </c>
      <c r="D375" s="39"/>
      <c r="E375" s="53">
        <f>TRUNC(7/1+1.9)</f>
        <v>8</v>
      </c>
      <c r="F375" s="139">
        <v>6</v>
      </c>
      <c r="G375" s="155" t="s">
        <v>57</v>
      </c>
      <c r="H375" s="27">
        <f>7.5*2</f>
        <v>15</v>
      </c>
      <c r="I375" s="55">
        <f t="shared" si="18"/>
        <v>180.24</v>
      </c>
      <c r="J375" s="59"/>
      <c r="K375" s="4"/>
      <c r="L375" s="4"/>
      <c r="M375" s="4"/>
      <c r="N375" s="4"/>
      <c r="O375" s="4"/>
      <c r="P375" s="4"/>
      <c r="Q375" s="4"/>
      <c r="AK375" s="44">
        <f t="shared" si="16"/>
        <v>1.502</v>
      </c>
    </row>
    <row r="376" spans="2:37" ht="12.75" customHeight="1">
      <c r="B376" s="26">
        <f t="shared" si="17"/>
        <v>368</v>
      </c>
      <c r="C376" s="41" t="s">
        <v>473</v>
      </c>
      <c r="D376" s="39"/>
      <c r="E376" s="53">
        <f>TRUNC(7/0.83+1.9)</f>
        <v>10</v>
      </c>
      <c r="F376" s="139">
        <v>6</v>
      </c>
      <c r="G376" s="155" t="s">
        <v>57</v>
      </c>
      <c r="H376" s="27">
        <f>5.75+4.416+14.83</f>
        <v>24.996000000000002</v>
      </c>
      <c r="I376" s="55">
        <f t="shared" si="18"/>
        <v>375.43992000000003</v>
      </c>
      <c r="J376" s="59"/>
      <c r="L376" s="4"/>
      <c r="M376" s="4"/>
      <c r="N376" s="4"/>
      <c r="O376" s="4"/>
      <c r="P376" s="4"/>
      <c r="Q376" s="4"/>
      <c r="AK376" s="44">
        <f t="shared" si="16"/>
        <v>1.502</v>
      </c>
    </row>
    <row r="377" spans="2:37" ht="12.75" customHeight="1">
      <c r="B377" s="26">
        <f t="shared" si="17"/>
        <v>369</v>
      </c>
      <c r="C377" s="41" t="s">
        <v>470</v>
      </c>
      <c r="D377" s="39"/>
      <c r="E377" s="53">
        <f>TRUNC(7/1+1.9)</f>
        <v>8</v>
      </c>
      <c r="F377" s="139">
        <v>5</v>
      </c>
      <c r="G377" s="155" t="s">
        <v>65</v>
      </c>
      <c r="H377" s="27">
        <f>5.75+0.5+0.83-0.83</f>
        <v>6.25</v>
      </c>
      <c r="I377" s="55">
        <f t="shared" si="18"/>
        <v>52.15</v>
      </c>
      <c r="J377" s="59"/>
      <c r="K377" s="4"/>
      <c r="L377" s="4"/>
      <c r="M377" s="4"/>
      <c r="N377" s="4"/>
      <c r="O377" s="4"/>
      <c r="P377" s="4"/>
      <c r="Q377" s="4"/>
      <c r="AK377" s="44">
        <f t="shared" si="16"/>
        <v>1.0429999999999999</v>
      </c>
    </row>
    <row r="378" spans="2:37" ht="12.75" customHeight="1">
      <c r="B378" s="26">
        <f t="shared" si="17"/>
        <v>370</v>
      </c>
      <c r="C378" s="28" t="s">
        <v>476</v>
      </c>
      <c r="D378" s="39"/>
      <c r="E378" s="39"/>
      <c r="F378" s="139"/>
      <c r="G378" s="155"/>
      <c r="H378" s="27"/>
      <c r="I378" s="55">
        <f t="shared" si="18"/>
        <v>0</v>
      </c>
      <c r="J378" s="59"/>
      <c r="K378" s="4"/>
      <c r="L378" s="4"/>
      <c r="M378" s="4"/>
      <c r="N378" s="4"/>
      <c r="O378" s="4"/>
      <c r="P378" s="4"/>
      <c r="Q378" s="4"/>
      <c r="AK378" s="44">
        <f t="shared" si="16"/>
        <v>0</v>
      </c>
    </row>
    <row r="379" spans="2:37" ht="12.75" customHeight="1">
      <c r="B379" s="26">
        <f t="shared" si="17"/>
        <v>371</v>
      </c>
      <c r="C379" s="41" t="s">
        <v>469</v>
      </c>
      <c r="D379" s="39"/>
      <c r="E379" s="53">
        <f>TRUNC(19.5/0.83+1.9)</f>
        <v>25</v>
      </c>
      <c r="F379" s="139">
        <v>7</v>
      </c>
      <c r="G379" s="155" t="s">
        <v>65</v>
      </c>
      <c r="H379" s="27">
        <f>10.5+12.75+1+1.16-0.083</f>
        <v>25.327000000000002</v>
      </c>
      <c r="I379" s="55">
        <f t="shared" si="18"/>
        <v>1294.2097000000001</v>
      </c>
      <c r="J379" s="59"/>
      <c r="K379" s="4"/>
      <c r="L379" s="4"/>
      <c r="M379" s="4"/>
      <c r="N379" s="4"/>
      <c r="O379" s="4"/>
      <c r="P379" s="4"/>
      <c r="Q379" s="4"/>
      <c r="AK379" s="44">
        <f t="shared" si="16"/>
        <v>2.044</v>
      </c>
    </row>
    <row r="380" spans="2:37" ht="12.75" customHeight="1">
      <c r="B380" s="26">
        <f t="shared" si="17"/>
        <v>372</v>
      </c>
      <c r="C380" s="41" t="s">
        <v>467</v>
      </c>
      <c r="D380" s="39"/>
      <c r="E380" s="53">
        <f>TRUNC(19.5/1+1.9)</f>
        <v>21</v>
      </c>
      <c r="F380" s="139">
        <v>8</v>
      </c>
      <c r="G380" s="155" t="s">
        <v>57</v>
      </c>
      <c r="H380" s="27">
        <f>10.5*2</f>
        <v>21</v>
      </c>
      <c r="I380" s="55">
        <f t="shared" si="18"/>
        <v>1177.47</v>
      </c>
      <c r="J380" s="59"/>
      <c r="K380" s="4"/>
      <c r="L380" s="4"/>
      <c r="M380" s="4"/>
      <c r="N380" s="4"/>
      <c r="O380" s="4"/>
      <c r="P380" s="4"/>
      <c r="Q380" s="4"/>
      <c r="AK380" s="44">
        <f t="shared" si="16"/>
        <v>2.67</v>
      </c>
    </row>
    <row r="381" spans="2:37" ht="12.75" customHeight="1">
      <c r="B381" s="26">
        <f t="shared" si="17"/>
        <v>373</v>
      </c>
      <c r="C381" s="41" t="s">
        <v>475</v>
      </c>
      <c r="D381" s="39"/>
      <c r="E381" s="53">
        <f>TRUNC(19.5/1+1.9)</f>
        <v>21</v>
      </c>
      <c r="F381" s="139">
        <v>9</v>
      </c>
      <c r="G381" s="155" t="s">
        <v>57</v>
      </c>
      <c r="H381" s="27">
        <v>28.5</v>
      </c>
      <c r="I381" s="55">
        <f t="shared" si="18"/>
        <v>2034.8999999999999</v>
      </c>
      <c r="J381" s="59"/>
      <c r="K381" s="4"/>
      <c r="L381" s="4"/>
      <c r="M381" s="4"/>
      <c r="N381" s="4"/>
      <c r="O381" s="4"/>
      <c r="P381" s="4"/>
      <c r="Q381" s="4"/>
      <c r="AK381" s="44">
        <f t="shared" si="16"/>
        <v>3.4</v>
      </c>
    </row>
    <row r="382" spans="2:37" ht="12.75" customHeight="1">
      <c r="B382" s="26">
        <f t="shared" si="17"/>
        <v>374</v>
      </c>
      <c r="C382" s="41" t="s">
        <v>465</v>
      </c>
      <c r="D382" s="39"/>
      <c r="E382" s="53">
        <f>TRUNC(21.67/1+1.9)</f>
        <v>23</v>
      </c>
      <c r="F382" s="139">
        <v>6</v>
      </c>
      <c r="G382" s="155" t="s">
        <v>57</v>
      </c>
      <c r="H382" s="27">
        <f>10.583-0.083</f>
        <v>10.5</v>
      </c>
      <c r="I382" s="55">
        <f t="shared" si="18"/>
        <v>362.733</v>
      </c>
      <c r="J382" s="59"/>
      <c r="K382" s="4"/>
      <c r="L382" s="4"/>
      <c r="M382" s="4"/>
      <c r="N382" s="4"/>
      <c r="O382" s="4"/>
      <c r="P382" s="4"/>
      <c r="Q382" s="4"/>
      <c r="AK382" s="44">
        <f t="shared" si="16"/>
        <v>1.502</v>
      </c>
    </row>
    <row r="383" spans="2:37" ht="12.75" customHeight="1">
      <c r="B383" s="26">
        <f t="shared" si="17"/>
        <v>375</v>
      </c>
      <c r="C383" s="41" t="s">
        <v>470</v>
      </c>
      <c r="D383" s="39"/>
      <c r="E383" s="53">
        <f>TRUNC(21.67/1+1.9)</f>
        <v>23</v>
      </c>
      <c r="F383" s="139">
        <v>6</v>
      </c>
      <c r="G383" s="155" t="s">
        <v>65</v>
      </c>
      <c r="H383" s="27">
        <f>5.75+0.83-0.083</f>
        <v>6.4969999999999999</v>
      </c>
      <c r="I383" s="55">
        <f t="shared" si="18"/>
        <v>224.44536200000002</v>
      </c>
      <c r="J383" s="59"/>
      <c r="K383" s="4"/>
      <c r="L383" s="4"/>
      <c r="M383" s="4"/>
      <c r="N383" s="4"/>
      <c r="O383" s="4"/>
      <c r="P383" s="4"/>
      <c r="Q383" s="4"/>
      <c r="AK383" s="44">
        <f t="shared" si="16"/>
        <v>1.502</v>
      </c>
    </row>
    <row r="384" spans="2:37" ht="12.75" customHeight="1">
      <c r="B384" s="26">
        <f t="shared" si="17"/>
        <v>376</v>
      </c>
      <c r="C384" s="28" t="s">
        <v>463</v>
      </c>
      <c r="D384" s="53"/>
      <c r="E384" s="53"/>
      <c r="F384" s="53"/>
      <c r="G384" s="53"/>
      <c r="H384" s="154"/>
      <c r="I384" s="55">
        <f t="shared" si="18"/>
        <v>0</v>
      </c>
      <c r="J384" s="59"/>
      <c r="K384" s="4"/>
      <c r="M384" s="4"/>
      <c r="N384" s="4"/>
      <c r="O384" s="4"/>
      <c r="P384" s="4"/>
      <c r="Q384" s="4"/>
      <c r="AK384" s="44">
        <f t="shared" si="16"/>
        <v>0</v>
      </c>
    </row>
    <row r="385" spans="2:37" ht="12.75" customHeight="1">
      <c r="B385" s="26">
        <f t="shared" si="17"/>
        <v>377</v>
      </c>
      <c r="C385" s="31" t="s">
        <v>445</v>
      </c>
      <c r="D385" s="53"/>
      <c r="E385" s="53">
        <f>TRUNC(6/0.67+1.9)</f>
        <v>10</v>
      </c>
      <c r="F385" s="53">
        <v>9</v>
      </c>
      <c r="G385" s="53" t="s">
        <v>57</v>
      </c>
      <c r="H385" s="154">
        <f>(23.916+1.5-0.083)</f>
        <v>25.333000000000002</v>
      </c>
      <c r="I385" s="55">
        <f t="shared" si="18"/>
        <v>861.322</v>
      </c>
      <c r="J385" s="59"/>
      <c r="K385" s="4"/>
      <c r="L385" s="4"/>
      <c r="M385" s="4"/>
      <c r="N385" s="4"/>
      <c r="O385" s="4"/>
      <c r="P385" s="4"/>
      <c r="Q385" s="4"/>
      <c r="AK385" s="44">
        <f t="shared" si="16"/>
        <v>3.4</v>
      </c>
    </row>
    <row r="386" spans="2:37" ht="12.75" customHeight="1">
      <c r="B386" s="26">
        <f t="shared" si="17"/>
        <v>378</v>
      </c>
      <c r="C386" s="31" t="s">
        <v>97</v>
      </c>
      <c r="D386" s="53"/>
      <c r="E386" s="53">
        <f>TRUNC(6/1+1.9)</f>
        <v>7</v>
      </c>
      <c r="F386" s="53">
        <v>5</v>
      </c>
      <c r="G386" s="53" t="s">
        <v>57</v>
      </c>
      <c r="H386" s="154">
        <f>10.5+0.5</f>
        <v>11</v>
      </c>
      <c r="I386" s="55">
        <f t="shared" si="18"/>
        <v>80.310999999999993</v>
      </c>
      <c r="J386" s="59"/>
      <c r="K386" s="4"/>
      <c r="L386" s="4"/>
      <c r="M386" s="4"/>
      <c r="N386" s="4"/>
      <c r="O386" s="4"/>
      <c r="P386" s="4"/>
      <c r="Q386" s="4"/>
      <c r="AK386" s="44">
        <f t="shared" si="16"/>
        <v>1.0429999999999999</v>
      </c>
    </row>
    <row r="387" spans="2:37" ht="12.75" customHeight="1">
      <c r="B387" s="26">
        <f t="shared" si="17"/>
        <v>379</v>
      </c>
      <c r="C387" s="28" t="s">
        <v>477</v>
      </c>
      <c r="D387" s="53"/>
      <c r="E387" s="53"/>
      <c r="F387" s="53"/>
      <c r="G387" s="53"/>
      <c r="H387" s="154"/>
      <c r="I387" s="55">
        <f t="shared" si="18"/>
        <v>0</v>
      </c>
      <c r="J387" s="59"/>
      <c r="L387" s="4"/>
      <c r="M387" s="4"/>
      <c r="N387" s="4"/>
      <c r="O387" s="4"/>
      <c r="P387" s="4"/>
      <c r="Q387" s="4"/>
      <c r="AK387" s="44">
        <f t="shared" si="16"/>
        <v>0</v>
      </c>
    </row>
    <row r="388" spans="2:37" ht="12.75" customHeight="1">
      <c r="B388" s="26">
        <f t="shared" si="17"/>
        <v>380</v>
      </c>
      <c r="C388" s="31" t="s">
        <v>478</v>
      </c>
      <c r="D388" s="53">
        <v>6</v>
      </c>
      <c r="E388" s="53">
        <v>3</v>
      </c>
      <c r="F388" s="53">
        <v>7</v>
      </c>
      <c r="G388" s="53" t="s">
        <v>57</v>
      </c>
      <c r="H388" s="154">
        <v>19.75</v>
      </c>
      <c r="I388" s="55">
        <f t="shared" si="18"/>
        <v>726.64200000000005</v>
      </c>
      <c r="J388" s="59"/>
      <c r="K388" s="4"/>
      <c r="L388" s="4"/>
      <c r="M388" s="4"/>
      <c r="N388" s="4"/>
      <c r="O388" s="4"/>
      <c r="P388" s="4"/>
      <c r="Q388" s="4"/>
      <c r="AK388" s="44">
        <f t="shared" si="16"/>
        <v>2.044</v>
      </c>
    </row>
    <row r="389" spans="2:37" ht="12.75" customHeight="1">
      <c r="B389" s="26">
        <f t="shared" si="17"/>
        <v>381</v>
      </c>
      <c r="C389" s="31" t="s">
        <v>479</v>
      </c>
      <c r="D389" s="53">
        <v>2</v>
      </c>
      <c r="E389" s="53">
        <v>3</v>
      </c>
      <c r="F389" s="53">
        <v>8</v>
      </c>
      <c r="G389" s="53" t="s">
        <v>57</v>
      </c>
      <c r="H389" s="154">
        <v>19.75</v>
      </c>
      <c r="I389" s="55">
        <f t="shared" si="18"/>
        <v>316.39499999999998</v>
      </c>
      <c r="J389" s="59"/>
      <c r="K389" s="4"/>
      <c r="L389" s="4"/>
      <c r="M389" s="4"/>
      <c r="N389" s="4"/>
      <c r="O389" s="4"/>
      <c r="P389" s="4"/>
      <c r="Q389" s="4"/>
      <c r="AK389" s="44">
        <f t="shared" si="16"/>
        <v>2.67</v>
      </c>
    </row>
    <row r="390" spans="2:37" ht="12.75" customHeight="1">
      <c r="B390" s="26">
        <f t="shared" si="17"/>
        <v>382</v>
      </c>
      <c r="C390" s="31" t="s">
        <v>480</v>
      </c>
      <c r="D390" s="53"/>
      <c r="E390" s="53">
        <v>2</v>
      </c>
      <c r="F390" s="53">
        <v>7</v>
      </c>
      <c r="G390" s="53" t="s">
        <v>57</v>
      </c>
      <c r="H390" s="154">
        <v>4.5</v>
      </c>
      <c r="I390" s="55">
        <f t="shared" si="18"/>
        <v>18.396000000000001</v>
      </c>
      <c r="J390" s="59"/>
      <c r="K390" s="4"/>
      <c r="L390" s="4"/>
      <c r="M390" s="4"/>
      <c r="N390" s="4"/>
      <c r="O390" s="4"/>
      <c r="P390" s="4"/>
      <c r="Q390" s="4"/>
      <c r="AK390" s="44">
        <f t="shared" si="16"/>
        <v>2.044</v>
      </c>
    </row>
    <row r="391" spans="2:37" ht="12.75" customHeight="1">
      <c r="B391" s="26">
        <f t="shared" si="17"/>
        <v>383</v>
      </c>
      <c r="C391" s="41" t="s">
        <v>481</v>
      </c>
      <c r="D391" s="39"/>
      <c r="E391" s="39">
        <v>4</v>
      </c>
      <c r="F391" s="139">
        <v>9</v>
      </c>
      <c r="G391" s="53" t="s">
        <v>57</v>
      </c>
      <c r="H391" s="27">
        <v>28.5</v>
      </c>
      <c r="I391" s="55">
        <f t="shared" si="18"/>
        <v>387.59999999999997</v>
      </c>
      <c r="J391" s="59"/>
      <c r="K391" s="4"/>
      <c r="L391" s="4"/>
      <c r="M391" s="4"/>
      <c r="N391" s="4"/>
      <c r="O391" s="4"/>
      <c r="P391" s="4"/>
      <c r="Q391" s="4"/>
      <c r="AK391" s="44">
        <f t="shared" si="16"/>
        <v>3.4</v>
      </c>
    </row>
    <row r="392" spans="2:37" ht="12.75" customHeight="1">
      <c r="B392" s="26">
        <f t="shared" si="17"/>
        <v>384</v>
      </c>
      <c r="C392" s="41" t="s">
        <v>482</v>
      </c>
      <c r="D392" s="156"/>
      <c r="E392" s="156">
        <v>1060</v>
      </c>
      <c r="F392" s="157">
        <v>4</v>
      </c>
      <c r="G392" s="146" t="s">
        <v>65</v>
      </c>
      <c r="H392" s="158">
        <f>0.41+1.5*3</f>
        <v>4.91</v>
      </c>
      <c r="I392" s="55">
        <f t="shared" si="18"/>
        <v>3476.6728000000003</v>
      </c>
      <c r="J392" s="59"/>
      <c r="K392" s="4"/>
      <c r="L392" s="4"/>
      <c r="M392" s="4"/>
      <c r="N392" s="4"/>
      <c r="O392" s="4"/>
      <c r="P392" s="4"/>
      <c r="Q392" s="4"/>
      <c r="AK392" s="44">
        <f t="shared" si="16"/>
        <v>0.66800000000000004</v>
      </c>
    </row>
    <row r="393" spans="2:37" ht="12.75" customHeight="1">
      <c r="B393" s="26">
        <f t="shared" si="17"/>
        <v>385</v>
      </c>
      <c r="C393" s="159" t="s">
        <v>336</v>
      </c>
      <c r="D393" s="156"/>
      <c r="E393" s="156"/>
      <c r="F393" s="157"/>
      <c r="G393" s="146"/>
      <c r="H393" s="158"/>
      <c r="I393" s="55">
        <f t="shared" si="18"/>
        <v>0</v>
      </c>
      <c r="J393" s="59"/>
      <c r="K393" s="4"/>
      <c r="M393" s="4"/>
      <c r="N393" s="4"/>
      <c r="O393" s="4"/>
      <c r="P393" s="4"/>
      <c r="Q393" s="4"/>
      <c r="AK393" s="44">
        <f t="shared" ref="AK393:AK409" si="20">IF(F393="",0,VLOOKUP(F393,$CI$16:$CJ$408,2,FALSE))</f>
        <v>0</v>
      </c>
    </row>
    <row r="394" spans="2:37" ht="12.75" customHeight="1">
      <c r="B394" s="26">
        <f t="shared" ref="B394:B408" si="21">IF(B393="SL.NO",1,B393+1)</f>
        <v>386</v>
      </c>
      <c r="C394" s="160" t="s">
        <v>483</v>
      </c>
      <c r="D394" s="35">
        <v>21</v>
      </c>
      <c r="E394" s="35">
        <f>TRUNC((4-0.08*2)/1+1.9)*2</f>
        <v>10</v>
      </c>
      <c r="F394" s="157">
        <v>4</v>
      </c>
      <c r="G394" s="146" t="s">
        <v>57</v>
      </c>
      <c r="H394" s="158">
        <f>4-0.08*2</f>
        <v>3.84</v>
      </c>
      <c r="I394" s="55">
        <f t="shared" si="18"/>
        <v>538.67520000000002</v>
      </c>
      <c r="J394" s="59"/>
      <c r="K394" s="4"/>
      <c r="L394" s="4"/>
      <c r="M394" s="4"/>
      <c r="N394" s="4"/>
      <c r="O394" s="4"/>
      <c r="P394" s="4"/>
      <c r="Q394" s="4"/>
      <c r="AK394" s="44">
        <f t="shared" si="20"/>
        <v>0.66800000000000004</v>
      </c>
    </row>
    <row r="395" spans="2:37" ht="12.75" customHeight="1">
      <c r="B395" s="26">
        <f t="shared" si="21"/>
        <v>387</v>
      </c>
      <c r="C395" s="97" t="s">
        <v>535</v>
      </c>
      <c r="D395" s="39"/>
      <c r="E395" s="39">
        <v>75</v>
      </c>
      <c r="F395" s="139">
        <v>4</v>
      </c>
      <c r="G395" s="122" t="s">
        <v>61</v>
      </c>
      <c r="H395" s="27">
        <v>40</v>
      </c>
      <c r="I395" s="55">
        <f t="shared" si="18"/>
        <v>2004.0000000000002</v>
      </c>
      <c r="J395" s="59"/>
      <c r="K395" s="4"/>
      <c r="L395" s="4"/>
      <c r="M395" s="4"/>
      <c r="N395" s="4"/>
      <c r="O395" s="4"/>
      <c r="P395" s="4"/>
      <c r="Q395" s="4"/>
      <c r="AK395" s="44">
        <f t="shared" si="20"/>
        <v>0.66800000000000004</v>
      </c>
    </row>
    <row r="396" spans="2:37" ht="12.75" customHeight="1">
      <c r="B396" s="26">
        <f t="shared" si="21"/>
        <v>388</v>
      </c>
      <c r="C396" s="160"/>
      <c r="D396" s="66"/>
      <c r="E396" s="125"/>
      <c r="F396" s="67"/>
      <c r="G396" s="161"/>
      <c r="H396" s="68"/>
      <c r="I396" s="55">
        <f t="shared" si="18"/>
        <v>0</v>
      </c>
      <c r="J396" s="59"/>
      <c r="L396" s="4"/>
      <c r="M396" s="4"/>
      <c r="N396" s="4"/>
      <c r="O396" s="4"/>
      <c r="P396" s="4"/>
      <c r="Q396" s="4"/>
      <c r="AK396" s="44">
        <f t="shared" si="20"/>
        <v>0</v>
      </c>
    </row>
    <row r="397" spans="2:37" ht="12.75" customHeight="1">
      <c r="B397" s="26">
        <f t="shared" si="21"/>
        <v>389</v>
      </c>
      <c r="C397" s="159"/>
      <c r="D397" s="125"/>
      <c r="E397" s="125"/>
      <c r="F397" s="67"/>
      <c r="G397" s="161"/>
      <c r="H397" s="68"/>
      <c r="I397" s="55">
        <f t="shared" si="18"/>
        <v>0</v>
      </c>
      <c r="J397" s="59"/>
      <c r="K397" s="4"/>
      <c r="L397" s="4"/>
      <c r="M397" s="4"/>
      <c r="N397" s="4"/>
      <c r="O397" s="4"/>
      <c r="P397" s="4"/>
      <c r="Q397" s="4"/>
      <c r="AK397" s="44">
        <f t="shared" si="20"/>
        <v>0</v>
      </c>
    </row>
    <row r="398" spans="2:37" ht="12.75" customHeight="1">
      <c r="B398" s="26">
        <f t="shared" si="21"/>
        <v>390</v>
      </c>
      <c r="C398" s="160"/>
      <c r="D398" s="125"/>
      <c r="E398" s="125"/>
      <c r="F398" s="67"/>
      <c r="G398" s="161"/>
      <c r="H398" s="68"/>
      <c r="I398" s="55">
        <f t="shared" si="18"/>
        <v>0</v>
      </c>
      <c r="J398" s="59"/>
      <c r="K398" s="4"/>
      <c r="L398" s="4"/>
      <c r="M398" s="4"/>
      <c r="N398" s="4"/>
      <c r="O398" s="4"/>
      <c r="P398" s="4"/>
      <c r="Q398" s="4"/>
      <c r="AK398" s="44">
        <f t="shared" si="20"/>
        <v>0</v>
      </c>
    </row>
    <row r="399" spans="2:37" ht="12.75" customHeight="1">
      <c r="B399" s="26">
        <f t="shared" si="21"/>
        <v>391</v>
      </c>
      <c r="C399" s="160"/>
      <c r="D399" s="125"/>
      <c r="E399" s="125"/>
      <c r="F399" s="67"/>
      <c r="G399" s="161"/>
      <c r="H399" s="68"/>
      <c r="I399" s="55">
        <f t="shared" si="18"/>
        <v>0</v>
      </c>
      <c r="J399" s="59"/>
      <c r="K399" s="4"/>
      <c r="L399" s="4"/>
      <c r="M399" s="4"/>
      <c r="N399" s="4"/>
      <c r="O399" s="4"/>
      <c r="P399" s="4"/>
      <c r="Q399" s="4"/>
      <c r="AK399" s="44">
        <f t="shared" si="20"/>
        <v>0</v>
      </c>
    </row>
    <row r="400" spans="2:37" ht="12.75" customHeight="1">
      <c r="B400" s="26">
        <f t="shared" si="21"/>
        <v>392</v>
      </c>
      <c r="C400" s="160"/>
      <c r="D400" s="66"/>
      <c r="E400" s="125"/>
      <c r="F400" s="67"/>
      <c r="G400" s="161"/>
      <c r="H400" s="68"/>
      <c r="I400" s="55">
        <f t="shared" ref="I400:I408" si="22">IF(D400="",AK400*H400*E400,AK400*H400*E400*D400)</f>
        <v>0</v>
      </c>
      <c r="J400" s="59"/>
      <c r="K400" s="4"/>
      <c r="L400" s="4"/>
      <c r="M400" s="4"/>
      <c r="N400" s="4"/>
      <c r="O400" s="4"/>
      <c r="P400" s="4"/>
      <c r="Q400" s="4"/>
      <c r="AK400" s="44">
        <f t="shared" si="20"/>
        <v>0</v>
      </c>
    </row>
    <row r="401" spans="2:37" ht="12.75" customHeight="1">
      <c r="B401" s="26">
        <f t="shared" si="21"/>
        <v>393</v>
      </c>
      <c r="C401" s="160"/>
      <c r="D401" s="66"/>
      <c r="E401" s="125"/>
      <c r="F401" s="67"/>
      <c r="G401" s="161"/>
      <c r="H401" s="68"/>
      <c r="I401" s="55">
        <f t="shared" si="22"/>
        <v>0</v>
      </c>
      <c r="J401" s="59"/>
      <c r="L401" s="4"/>
      <c r="M401" s="4"/>
      <c r="N401" s="4"/>
      <c r="O401" s="4"/>
      <c r="P401" s="4"/>
      <c r="Q401" s="4"/>
      <c r="AK401" s="44">
        <f t="shared" si="20"/>
        <v>0</v>
      </c>
    </row>
    <row r="402" spans="2:37" ht="12.75" customHeight="1">
      <c r="B402" s="26">
        <f t="shared" si="21"/>
        <v>394</v>
      </c>
      <c r="C402" s="160"/>
      <c r="D402" s="66"/>
      <c r="E402" s="125"/>
      <c r="F402" s="67"/>
      <c r="G402" s="161"/>
      <c r="H402" s="68"/>
      <c r="I402" s="55">
        <f t="shared" si="22"/>
        <v>0</v>
      </c>
      <c r="J402" s="59"/>
      <c r="K402" s="4"/>
      <c r="L402" s="4"/>
      <c r="M402" s="4"/>
      <c r="N402" s="4"/>
      <c r="O402" s="4"/>
      <c r="P402" s="4"/>
      <c r="Q402" s="4"/>
      <c r="AK402" s="44">
        <f t="shared" si="20"/>
        <v>0</v>
      </c>
    </row>
    <row r="403" spans="2:37" ht="12.75" customHeight="1">
      <c r="B403" s="26">
        <f t="shared" si="21"/>
        <v>395</v>
      </c>
      <c r="C403" s="160"/>
      <c r="D403" s="66"/>
      <c r="E403" s="125"/>
      <c r="F403" s="67"/>
      <c r="G403" s="161"/>
      <c r="H403" s="68"/>
      <c r="I403" s="55">
        <f t="shared" si="22"/>
        <v>0</v>
      </c>
      <c r="J403" s="59"/>
      <c r="K403" s="4"/>
      <c r="L403" s="4"/>
      <c r="M403" s="4"/>
      <c r="N403" s="4"/>
      <c r="O403" s="4"/>
      <c r="P403" s="4"/>
      <c r="Q403" s="4"/>
      <c r="AK403" s="44">
        <f t="shared" si="20"/>
        <v>0</v>
      </c>
    </row>
    <row r="404" spans="2:37" ht="12.75" customHeight="1">
      <c r="B404" s="26">
        <f t="shared" si="21"/>
        <v>396</v>
      </c>
      <c r="C404" s="159"/>
      <c r="D404" s="66"/>
      <c r="E404" s="66"/>
      <c r="F404" s="67"/>
      <c r="G404" s="73"/>
      <c r="H404" s="68"/>
      <c r="I404" s="55">
        <f t="shared" si="22"/>
        <v>0</v>
      </c>
      <c r="J404" s="59"/>
      <c r="K404" s="4"/>
      <c r="L404" s="4"/>
      <c r="M404" s="4"/>
      <c r="N404" s="4"/>
      <c r="O404" s="4"/>
      <c r="P404" s="4"/>
      <c r="Q404" s="4"/>
      <c r="AK404" s="44">
        <f t="shared" si="20"/>
        <v>0</v>
      </c>
    </row>
    <row r="405" spans="2:37" ht="12.75" customHeight="1">
      <c r="B405" s="26">
        <f t="shared" si="21"/>
        <v>397</v>
      </c>
      <c r="C405" s="160"/>
      <c r="D405" s="66"/>
      <c r="E405" s="66"/>
      <c r="F405" s="67"/>
      <c r="G405" s="161"/>
      <c r="H405" s="68"/>
      <c r="I405" s="55">
        <f t="shared" si="22"/>
        <v>0</v>
      </c>
      <c r="J405" s="59"/>
      <c r="K405" s="4"/>
      <c r="L405" s="4"/>
      <c r="M405" s="4"/>
      <c r="N405" s="4"/>
      <c r="O405" s="4"/>
      <c r="P405" s="4"/>
      <c r="Q405" s="4"/>
      <c r="AK405" s="44">
        <f t="shared" si="20"/>
        <v>0</v>
      </c>
    </row>
    <row r="406" spans="2:37" ht="12.75" customHeight="1">
      <c r="B406" s="26">
        <f t="shared" si="21"/>
        <v>398</v>
      </c>
      <c r="C406" s="160"/>
      <c r="D406" s="66"/>
      <c r="E406" s="66"/>
      <c r="F406" s="67"/>
      <c r="G406" s="161"/>
      <c r="H406" s="68"/>
      <c r="I406" s="55">
        <f t="shared" si="22"/>
        <v>0</v>
      </c>
      <c r="J406" s="59"/>
      <c r="K406" s="4"/>
      <c r="L406" s="4"/>
      <c r="M406" s="4"/>
      <c r="N406" s="4"/>
      <c r="O406" s="4"/>
      <c r="P406" s="4"/>
      <c r="Q406" s="4"/>
      <c r="AK406" s="44">
        <f t="shared" si="20"/>
        <v>0</v>
      </c>
    </row>
    <row r="407" spans="2:37" ht="12.75" customHeight="1">
      <c r="B407" s="26">
        <f t="shared" si="21"/>
        <v>399</v>
      </c>
      <c r="C407" s="160"/>
      <c r="D407" s="66"/>
      <c r="E407" s="66"/>
      <c r="F407" s="67"/>
      <c r="G407" s="161"/>
      <c r="H407" s="68"/>
      <c r="I407" s="55">
        <f t="shared" si="22"/>
        <v>0</v>
      </c>
      <c r="J407" s="59"/>
      <c r="K407" s="4"/>
      <c r="L407" s="4"/>
      <c r="M407" s="4"/>
      <c r="N407" s="4"/>
      <c r="O407" s="4"/>
      <c r="P407" s="4"/>
      <c r="Q407" s="4"/>
      <c r="AK407" s="44">
        <f t="shared" si="20"/>
        <v>0</v>
      </c>
    </row>
    <row r="408" spans="2:37" ht="12.75" customHeight="1">
      <c r="B408" s="26">
        <f t="shared" si="21"/>
        <v>400</v>
      </c>
      <c r="C408" s="160"/>
      <c r="D408" s="125"/>
      <c r="E408" s="125"/>
      <c r="F408" s="67"/>
      <c r="G408" s="161"/>
      <c r="H408" s="68"/>
      <c r="I408" s="55">
        <f t="shared" si="22"/>
        <v>0</v>
      </c>
      <c r="J408" s="59"/>
      <c r="K408" s="4"/>
      <c r="L408" s="4"/>
      <c r="M408" s="4"/>
      <c r="N408" s="4"/>
      <c r="O408" s="4"/>
      <c r="P408" s="4"/>
      <c r="Q408" s="4"/>
      <c r="AK408" s="44">
        <f t="shared" si="20"/>
        <v>0</v>
      </c>
    </row>
    <row r="409" spans="2:37" ht="13.5" thickBot="1">
      <c r="G409" s="46"/>
      <c r="H409" s="88" t="s">
        <v>90</v>
      </c>
      <c r="I409" s="89">
        <f>SUM(I9:I408)</f>
        <v>182964.54775715008</v>
      </c>
      <c r="AK409" s="44">
        <f t="shared" si="20"/>
        <v>0</v>
      </c>
    </row>
    <row r="410" spans="2:37">
      <c r="I410" s="90"/>
    </row>
    <row r="413" spans="2:37">
      <c r="I413" s="90">
        <f>I409/2000</f>
        <v>91.482273878575043</v>
      </c>
    </row>
  </sheetData>
  <mergeCells count="4">
    <mergeCell ref="C1:H2"/>
    <mergeCell ref="D4:I4"/>
    <mergeCell ref="D5:I5"/>
    <mergeCell ref="D6:I6"/>
  </mergeCells>
  <dataValidations count="3">
    <dataValidation type="list" allowBlank="1" showInputMessage="1" showErrorMessage="1" sqref="J9:J408">
      <formula1>"A-615 GR-60,A-615 GR-40,A706 GR-60"</formula1>
    </dataValidation>
    <dataValidation type="list" allowBlank="1" showInputMessage="1" showErrorMessage="1" sqref="G9:G408">
      <formula1>$CL$15:$CL$24</formula1>
    </dataValidation>
    <dataValidation type="list" allowBlank="1" showInputMessage="1" showErrorMessage="1" sqref="F9:F408">
      <formula1>$CI$16:$CI$38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  <rowBreaks count="7" manualBreakCount="7">
    <brk id="58" min="1" max="8" man="1"/>
    <brk id="108" min="1" max="8" man="1"/>
    <brk id="158" min="1" max="8" man="1"/>
    <brk id="208" min="1" max="8" man="1"/>
    <brk id="258" min="1" max="8" man="1"/>
    <brk id="308" min="1" max="8" man="1"/>
    <brk id="358" min="1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CL198"/>
  <sheetViews>
    <sheetView tabSelected="1" view="pageBreakPreview" topLeftCell="A79" zoomScaleNormal="25" zoomScaleSheetLayoutView="100" workbookViewId="0">
      <selection activeCell="K115" sqref="K115"/>
    </sheetView>
  </sheetViews>
  <sheetFormatPr defaultRowHeight="12.75"/>
  <cols>
    <col min="1" max="1" width="1.28515625" style="44" customWidth="1"/>
    <col min="2" max="2" width="6.5703125" style="44" customWidth="1"/>
    <col min="3" max="3" width="39" style="44" customWidth="1"/>
    <col min="4" max="6" width="7.7109375" style="44" customWidth="1"/>
    <col min="7" max="8" width="9.7109375" style="44" customWidth="1"/>
    <col min="9" max="9" width="11.7109375" style="45" customWidth="1"/>
    <col min="10" max="10" width="11.7109375" style="44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223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40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D7" s="102"/>
      <c r="E7" s="46"/>
    </row>
    <row r="8" spans="2:90" ht="24" customHeight="1" thickBot="1">
      <c r="B8" s="103" t="s">
        <v>43</v>
      </c>
      <c r="C8" s="104" t="s">
        <v>44</v>
      </c>
      <c r="D8" s="105" t="s">
        <v>45</v>
      </c>
      <c r="E8" s="105" t="s">
        <v>46</v>
      </c>
      <c r="F8" s="105" t="s">
        <v>47</v>
      </c>
      <c r="G8" s="105" t="s">
        <v>48</v>
      </c>
      <c r="H8" s="105" t="s">
        <v>49</v>
      </c>
      <c r="I8" s="105" t="s">
        <v>50</v>
      </c>
      <c r="J8" s="49" t="s">
        <v>51</v>
      </c>
      <c r="K8" s="106">
        <f>I113</f>
        <v>0.9239580399999997</v>
      </c>
      <c r="AK8" s="51" t="s">
        <v>52</v>
      </c>
    </row>
    <row r="9" spans="2:90">
      <c r="B9" s="107">
        <f>IF(B8="SL.NO",1,B8+1)</f>
        <v>1</v>
      </c>
      <c r="C9" s="21" t="s">
        <v>53</v>
      </c>
      <c r="D9" s="117"/>
      <c r="E9" s="117"/>
      <c r="F9" s="53"/>
      <c r="G9" s="24"/>
      <c r="H9" s="25"/>
      <c r="I9" s="54">
        <f t="shared" ref="I9:I72" si="0">IF(D9="",AK9*H9*E9,AK9*H9*E9*D9)</f>
        <v>0</v>
      </c>
      <c r="J9" s="56"/>
      <c r="AK9" s="44">
        <f t="shared" ref="AK9:AK72" si="1">IF(F9="",0,VLOOKUP(F9,$CI$16:$CJ$34,2,FALSE))</f>
        <v>0</v>
      </c>
    </row>
    <row r="10" spans="2:90">
      <c r="B10" s="107">
        <f t="shared" ref="B10:B73" si="2">IF(B9="SL.NO",1,B9+1)</f>
        <v>2</v>
      </c>
      <c r="C10" s="43" t="s">
        <v>205</v>
      </c>
      <c r="D10" s="117"/>
      <c r="E10" s="117"/>
      <c r="F10" s="81"/>
      <c r="G10" s="52"/>
      <c r="H10" s="25"/>
      <c r="I10" s="84">
        <f t="shared" si="0"/>
        <v>0</v>
      </c>
      <c r="J10" s="59"/>
      <c r="AK10" s="44">
        <f t="shared" si="1"/>
        <v>0</v>
      </c>
    </row>
    <row r="11" spans="2:90">
      <c r="B11" s="107">
        <f t="shared" si="2"/>
        <v>3</v>
      </c>
      <c r="C11" s="43" t="s">
        <v>206</v>
      </c>
      <c r="D11" s="81"/>
      <c r="E11" s="81"/>
      <c r="F11" s="81"/>
      <c r="G11" s="52"/>
      <c r="H11" s="81"/>
      <c r="I11" s="84">
        <f t="shared" si="0"/>
        <v>0</v>
      </c>
      <c r="J11" s="59"/>
      <c r="K11" s="16"/>
      <c r="AK11" s="44">
        <f t="shared" si="1"/>
        <v>0</v>
      </c>
    </row>
    <row r="12" spans="2:90">
      <c r="B12" s="107">
        <f t="shared" si="2"/>
        <v>4</v>
      </c>
      <c r="C12" s="98" t="s">
        <v>207</v>
      </c>
      <c r="D12" s="81"/>
      <c r="E12" s="81"/>
      <c r="F12" s="81"/>
      <c r="G12" s="52"/>
      <c r="H12" s="81"/>
      <c r="I12" s="84">
        <f t="shared" si="0"/>
        <v>0</v>
      </c>
      <c r="J12" s="59"/>
      <c r="K12" s="50"/>
      <c r="L12" s="46"/>
      <c r="AK12" s="44">
        <f t="shared" si="1"/>
        <v>0</v>
      </c>
    </row>
    <row r="13" spans="2:90">
      <c r="B13" s="107">
        <f t="shared" si="2"/>
        <v>5</v>
      </c>
      <c r="C13" s="86" t="s">
        <v>208</v>
      </c>
      <c r="D13" s="81"/>
      <c r="E13" s="81">
        <f>TRUNC(2.66/1.5+1.9)</f>
        <v>3</v>
      </c>
      <c r="F13" s="81">
        <v>4</v>
      </c>
      <c r="G13" s="52" t="s">
        <v>65</v>
      </c>
      <c r="H13" s="81">
        <f>(1.5+0.83-0.16)+(0.83-0.16)</f>
        <v>2.84</v>
      </c>
      <c r="I13" s="84">
        <f t="shared" si="0"/>
        <v>5.6913599999999995</v>
      </c>
      <c r="J13" s="59"/>
      <c r="AK13" s="44">
        <f t="shared" si="1"/>
        <v>0.66800000000000004</v>
      </c>
    </row>
    <row r="14" spans="2:90" ht="13.5" thickBot="1">
      <c r="B14" s="107">
        <f t="shared" si="2"/>
        <v>6</v>
      </c>
      <c r="C14" s="86" t="s">
        <v>209</v>
      </c>
      <c r="D14" s="81"/>
      <c r="E14" s="81">
        <f>TRUNC(2.66/1.5+1.9)</f>
        <v>3</v>
      </c>
      <c r="F14" s="81">
        <v>4</v>
      </c>
      <c r="G14" s="52" t="s">
        <v>65</v>
      </c>
      <c r="H14" s="25">
        <v>10.42</v>
      </c>
      <c r="I14" s="84">
        <f t="shared" si="0"/>
        <v>20.881679999999999</v>
      </c>
      <c r="J14" s="59"/>
      <c r="L14" s="16"/>
      <c r="AK14" s="44">
        <f t="shared" si="1"/>
        <v>0.66800000000000004</v>
      </c>
    </row>
    <row r="15" spans="2:90">
      <c r="B15" s="107">
        <f t="shared" si="2"/>
        <v>7</v>
      </c>
      <c r="C15" s="86" t="s">
        <v>210</v>
      </c>
      <c r="D15" s="81"/>
      <c r="E15" s="81">
        <f>TRUNC(10.33/1.5+1.9)</f>
        <v>8</v>
      </c>
      <c r="F15" s="81">
        <v>4</v>
      </c>
      <c r="G15" s="52" t="s">
        <v>57</v>
      </c>
      <c r="H15" s="25">
        <f>3-0.33</f>
        <v>2.67</v>
      </c>
      <c r="I15" s="25">
        <f t="shared" si="0"/>
        <v>14.26848</v>
      </c>
      <c r="J15" s="59"/>
      <c r="L15" s="16"/>
      <c r="AK15" s="44">
        <f t="shared" si="1"/>
        <v>0.66800000000000004</v>
      </c>
      <c r="CI15" s="60" t="s">
        <v>47</v>
      </c>
      <c r="CJ15" s="61" t="s">
        <v>52</v>
      </c>
      <c r="CL15" s="16" t="s">
        <v>61</v>
      </c>
    </row>
    <row r="16" spans="2:90">
      <c r="B16" s="107">
        <f t="shared" si="2"/>
        <v>8</v>
      </c>
      <c r="C16" s="31" t="s">
        <v>211</v>
      </c>
      <c r="D16" s="81">
        <v>2</v>
      </c>
      <c r="E16" s="81">
        <f>TRUNC(10.33/1.5+1.9)</f>
        <v>8</v>
      </c>
      <c r="F16" s="81">
        <v>4</v>
      </c>
      <c r="G16" s="52" t="s">
        <v>65</v>
      </c>
      <c r="H16" s="25">
        <f>2.42+0.66</f>
        <v>3.08</v>
      </c>
      <c r="I16" s="84">
        <f t="shared" si="0"/>
        <v>32.919040000000003</v>
      </c>
      <c r="J16" s="59"/>
      <c r="AK16" s="44">
        <f t="shared" si="1"/>
        <v>0.66800000000000004</v>
      </c>
      <c r="CI16" s="63">
        <v>3</v>
      </c>
      <c r="CJ16" s="64">
        <v>0.376</v>
      </c>
      <c r="CL16" s="16" t="s">
        <v>57</v>
      </c>
    </row>
    <row r="17" spans="2:90">
      <c r="B17" s="107">
        <f t="shared" si="2"/>
        <v>9</v>
      </c>
      <c r="C17" s="31" t="s">
        <v>212</v>
      </c>
      <c r="D17" s="81"/>
      <c r="E17" s="81">
        <v>2</v>
      </c>
      <c r="F17" s="81">
        <v>4</v>
      </c>
      <c r="G17" s="52" t="s">
        <v>57</v>
      </c>
      <c r="H17" s="25">
        <f>3-0.33</f>
        <v>2.67</v>
      </c>
      <c r="I17" s="25">
        <f t="shared" si="0"/>
        <v>3.5671200000000001</v>
      </c>
      <c r="J17" s="59"/>
      <c r="AK17" s="44">
        <f t="shared" si="1"/>
        <v>0.66800000000000004</v>
      </c>
      <c r="CI17" s="63" t="s">
        <v>64</v>
      </c>
      <c r="CJ17" s="64">
        <v>0.376</v>
      </c>
      <c r="CL17" s="16" t="s">
        <v>65</v>
      </c>
    </row>
    <row r="18" spans="2:90">
      <c r="B18" s="107">
        <f t="shared" si="2"/>
        <v>10</v>
      </c>
      <c r="C18" s="31" t="s">
        <v>213</v>
      </c>
      <c r="D18" s="81"/>
      <c r="E18" s="81">
        <f>TRUNC(10.16/1.5+1.9)</f>
        <v>8</v>
      </c>
      <c r="F18" s="81">
        <v>3</v>
      </c>
      <c r="G18" s="52" t="s">
        <v>57</v>
      </c>
      <c r="H18" s="25">
        <f>3-0.33</f>
        <v>2.67</v>
      </c>
      <c r="I18" s="25">
        <f t="shared" si="0"/>
        <v>8.0313599999999994</v>
      </c>
      <c r="J18" s="59"/>
      <c r="O18" s="34"/>
      <c r="AK18" s="44">
        <f t="shared" si="1"/>
        <v>0.376</v>
      </c>
      <c r="CI18" s="63">
        <v>4</v>
      </c>
      <c r="CJ18" s="64">
        <v>0.66800000000000004</v>
      </c>
      <c r="CL18" s="16" t="s">
        <v>65</v>
      </c>
    </row>
    <row r="19" spans="2:90">
      <c r="B19" s="107">
        <f t="shared" si="2"/>
        <v>11</v>
      </c>
      <c r="C19" s="98" t="s">
        <v>214</v>
      </c>
      <c r="D19" s="81"/>
      <c r="E19" s="81"/>
      <c r="F19" s="81"/>
      <c r="G19" s="52"/>
      <c r="H19" s="81"/>
      <c r="I19" s="25">
        <f t="shared" si="0"/>
        <v>0</v>
      </c>
      <c r="J19" s="109"/>
      <c r="K19" s="16"/>
      <c r="L19" s="16"/>
      <c r="M19" s="34"/>
      <c r="AK19" s="44">
        <f t="shared" si="1"/>
        <v>0</v>
      </c>
      <c r="CI19" s="63" t="s">
        <v>68</v>
      </c>
      <c r="CJ19" s="64">
        <v>0.66800000000000004</v>
      </c>
      <c r="CL19" s="16" t="s">
        <v>69</v>
      </c>
    </row>
    <row r="20" spans="2:90">
      <c r="B20" s="107">
        <f t="shared" si="2"/>
        <v>12</v>
      </c>
      <c r="C20" s="86" t="s">
        <v>209</v>
      </c>
      <c r="D20" s="81"/>
      <c r="E20" s="81">
        <f>TRUNC(3.5/1.5+1.9)</f>
        <v>4</v>
      </c>
      <c r="F20" s="81">
        <v>4</v>
      </c>
      <c r="G20" s="52" t="s">
        <v>57</v>
      </c>
      <c r="H20" s="81">
        <v>9.83</v>
      </c>
      <c r="I20" s="25">
        <f t="shared" si="0"/>
        <v>26.26576</v>
      </c>
      <c r="J20" s="59"/>
      <c r="K20" s="16"/>
      <c r="L20" s="16"/>
      <c r="O20" s="34"/>
      <c r="AK20" s="44">
        <f t="shared" si="1"/>
        <v>0.66800000000000004</v>
      </c>
      <c r="CI20" s="63">
        <v>5</v>
      </c>
      <c r="CJ20" s="64">
        <v>1.0429999999999999</v>
      </c>
      <c r="CL20" s="16" t="s">
        <v>71</v>
      </c>
    </row>
    <row r="21" spans="2:90">
      <c r="B21" s="107">
        <f t="shared" si="2"/>
        <v>13</v>
      </c>
      <c r="C21" s="86" t="s">
        <v>215</v>
      </c>
      <c r="D21" s="81"/>
      <c r="E21" s="81">
        <f>TRUNC(9.83/1.5+1.9)</f>
        <v>8</v>
      </c>
      <c r="F21" s="81">
        <v>4</v>
      </c>
      <c r="G21" s="52" t="s">
        <v>57</v>
      </c>
      <c r="H21" s="25">
        <v>3.5</v>
      </c>
      <c r="I21" s="25">
        <f t="shared" si="0"/>
        <v>18.704000000000001</v>
      </c>
      <c r="J21" s="59"/>
      <c r="K21" s="16"/>
      <c r="L21" s="16"/>
      <c r="M21" s="34"/>
      <c r="AK21" s="44">
        <f t="shared" si="1"/>
        <v>0.66800000000000004</v>
      </c>
      <c r="CI21" s="63" t="s">
        <v>73</v>
      </c>
      <c r="CJ21" s="64">
        <v>1.0429999999999999</v>
      </c>
      <c r="CL21" s="16" t="s">
        <v>74</v>
      </c>
    </row>
    <row r="22" spans="2:90">
      <c r="B22" s="107">
        <f t="shared" si="2"/>
        <v>14</v>
      </c>
      <c r="C22" s="98" t="s">
        <v>216</v>
      </c>
      <c r="D22" s="81"/>
      <c r="E22" s="81"/>
      <c r="F22" s="81"/>
      <c r="G22" s="52"/>
      <c r="H22" s="81"/>
      <c r="I22" s="84">
        <f t="shared" si="0"/>
        <v>0</v>
      </c>
      <c r="J22" s="59"/>
      <c r="AK22" s="44">
        <f t="shared" si="1"/>
        <v>0</v>
      </c>
    </row>
    <row r="23" spans="2:90">
      <c r="B23" s="107">
        <f t="shared" si="2"/>
        <v>15</v>
      </c>
      <c r="C23" s="86" t="s">
        <v>209</v>
      </c>
      <c r="D23" s="81"/>
      <c r="E23" s="81">
        <f>TRUNC(4.16/1.5+1.9)</f>
        <v>4</v>
      </c>
      <c r="F23" s="81">
        <v>4</v>
      </c>
      <c r="G23" s="52" t="s">
        <v>65</v>
      </c>
      <c r="H23" s="25">
        <v>12.92</v>
      </c>
      <c r="I23" s="84">
        <f t="shared" si="0"/>
        <v>34.522240000000004</v>
      </c>
      <c r="J23" s="59"/>
      <c r="K23" s="16"/>
      <c r="AK23" s="44">
        <f t="shared" si="1"/>
        <v>0.66800000000000004</v>
      </c>
    </row>
    <row r="24" spans="2:90">
      <c r="B24" s="107">
        <f t="shared" si="2"/>
        <v>16</v>
      </c>
      <c r="C24" s="86" t="s">
        <v>210</v>
      </c>
      <c r="D24" s="81"/>
      <c r="E24" s="81">
        <f>TRUNC(11.42/1.5+1.9)</f>
        <v>9</v>
      </c>
      <c r="F24" s="81">
        <v>4</v>
      </c>
      <c r="G24" s="52" t="s">
        <v>57</v>
      </c>
      <c r="H24" s="25">
        <f>3-0.33</f>
        <v>2.67</v>
      </c>
      <c r="I24" s="84">
        <f t="shared" si="0"/>
        <v>16.052040000000002</v>
      </c>
      <c r="J24" s="59"/>
      <c r="K24" s="50"/>
      <c r="L24" s="46"/>
      <c r="AK24" s="44">
        <f t="shared" si="1"/>
        <v>0.66800000000000004</v>
      </c>
    </row>
    <row r="25" spans="2:90">
      <c r="B25" s="107">
        <f t="shared" si="2"/>
        <v>17</v>
      </c>
      <c r="C25" s="31" t="s">
        <v>211</v>
      </c>
      <c r="D25" s="81">
        <v>2</v>
      </c>
      <c r="E25" s="81">
        <f>TRUNC(11.42/1.5+1.9)</f>
        <v>9</v>
      </c>
      <c r="F25" s="81">
        <v>4</v>
      </c>
      <c r="G25" s="52" t="s">
        <v>65</v>
      </c>
      <c r="H25" s="25">
        <f>2.42+0.66</f>
        <v>3.08</v>
      </c>
      <c r="I25" s="84">
        <f t="shared" si="0"/>
        <v>37.033920000000002</v>
      </c>
      <c r="J25" s="59"/>
      <c r="AK25" s="44">
        <f t="shared" si="1"/>
        <v>0.66800000000000004</v>
      </c>
    </row>
    <row r="26" spans="2:90">
      <c r="B26" s="107">
        <f t="shared" si="2"/>
        <v>18</v>
      </c>
      <c r="C26" s="31" t="s">
        <v>212</v>
      </c>
      <c r="D26" s="81"/>
      <c r="E26" s="81">
        <v>2</v>
      </c>
      <c r="F26" s="81">
        <v>4</v>
      </c>
      <c r="G26" s="52" t="s">
        <v>57</v>
      </c>
      <c r="H26" s="25">
        <f>3-0.33</f>
        <v>2.67</v>
      </c>
      <c r="I26" s="84">
        <f t="shared" si="0"/>
        <v>3.5671200000000001</v>
      </c>
      <c r="J26" s="59"/>
      <c r="L26" s="16"/>
      <c r="AK26" s="44">
        <f t="shared" si="1"/>
        <v>0.66800000000000004</v>
      </c>
    </row>
    <row r="27" spans="2:90">
      <c r="B27" s="107">
        <f t="shared" si="2"/>
        <v>19</v>
      </c>
      <c r="C27" s="31" t="s">
        <v>213</v>
      </c>
      <c r="D27" s="81"/>
      <c r="E27" s="81">
        <v>9</v>
      </c>
      <c r="F27" s="81">
        <v>3</v>
      </c>
      <c r="G27" s="52" t="s">
        <v>57</v>
      </c>
      <c r="H27" s="25">
        <f>3-0.33</f>
        <v>2.67</v>
      </c>
      <c r="I27" s="25">
        <f t="shared" si="0"/>
        <v>9.0352800000000002</v>
      </c>
      <c r="J27" s="59"/>
      <c r="L27" s="16"/>
      <c r="AK27" s="44">
        <f t="shared" si="1"/>
        <v>0.376</v>
      </c>
    </row>
    <row r="28" spans="2:90">
      <c r="B28" s="107">
        <f t="shared" si="2"/>
        <v>20</v>
      </c>
      <c r="C28" s="98" t="s">
        <v>217</v>
      </c>
      <c r="D28" s="81"/>
      <c r="E28" s="81"/>
      <c r="F28" s="81"/>
      <c r="G28" s="52"/>
      <c r="H28" s="81"/>
      <c r="I28" s="84">
        <f t="shared" si="0"/>
        <v>0</v>
      </c>
      <c r="J28" s="59"/>
      <c r="AK28" s="44">
        <f t="shared" si="1"/>
        <v>0</v>
      </c>
    </row>
    <row r="29" spans="2:90">
      <c r="B29" s="107">
        <f t="shared" si="2"/>
        <v>21</v>
      </c>
      <c r="C29" s="86" t="s">
        <v>209</v>
      </c>
      <c r="D29" s="81"/>
      <c r="E29" s="81">
        <f>TRUNC(3.5/1.5+1.9)</f>
        <v>4</v>
      </c>
      <c r="F29" s="81">
        <v>4</v>
      </c>
      <c r="G29" s="52" t="s">
        <v>57</v>
      </c>
      <c r="H29" s="81">
        <v>9.83</v>
      </c>
      <c r="I29" s="25">
        <f t="shared" si="0"/>
        <v>26.26576</v>
      </c>
      <c r="J29" s="59"/>
      <c r="AK29" s="44">
        <f t="shared" si="1"/>
        <v>0.66800000000000004</v>
      </c>
    </row>
    <row r="30" spans="2:90">
      <c r="B30" s="107">
        <f t="shared" si="2"/>
        <v>22</v>
      </c>
      <c r="C30" s="86" t="s">
        <v>215</v>
      </c>
      <c r="D30" s="81"/>
      <c r="E30" s="81">
        <f>TRUNC(9.83/1.5+1.9)</f>
        <v>8</v>
      </c>
      <c r="F30" s="81">
        <v>4</v>
      </c>
      <c r="G30" s="52" t="s">
        <v>57</v>
      </c>
      <c r="H30" s="25">
        <v>3.5</v>
      </c>
      <c r="I30" s="25">
        <f t="shared" si="0"/>
        <v>18.704000000000001</v>
      </c>
      <c r="J30" s="59"/>
      <c r="O30" s="34"/>
      <c r="AK30" s="44">
        <f t="shared" si="1"/>
        <v>0.66800000000000004</v>
      </c>
    </row>
    <row r="31" spans="2:90">
      <c r="B31" s="107">
        <f t="shared" si="2"/>
        <v>23</v>
      </c>
      <c r="C31" s="98" t="s">
        <v>218</v>
      </c>
      <c r="D31" s="81"/>
      <c r="E31" s="81"/>
      <c r="F31" s="81"/>
      <c r="G31" s="52"/>
      <c r="H31" s="25"/>
      <c r="I31" s="25">
        <f t="shared" si="0"/>
        <v>0</v>
      </c>
      <c r="J31" s="109"/>
      <c r="K31" s="16"/>
      <c r="L31" s="16"/>
      <c r="M31" s="34"/>
      <c r="AK31" s="44">
        <f t="shared" si="1"/>
        <v>0</v>
      </c>
    </row>
    <row r="32" spans="2:90">
      <c r="B32" s="107">
        <f t="shared" si="2"/>
        <v>24</v>
      </c>
      <c r="C32" s="98" t="s">
        <v>207</v>
      </c>
      <c r="D32" s="81"/>
      <c r="E32" s="81"/>
      <c r="F32" s="81"/>
      <c r="G32" s="52"/>
      <c r="H32" s="81"/>
      <c r="I32" s="25">
        <f t="shared" si="0"/>
        <v>0</v>
      </c>
      <c r="J32" s="59"/>
      <c r="K32" s="16"/>
      <c r="L32" s="16"/>
      <c r="O32" s="34"/>
      <c r="AK32" s="44">
        <f t="shared" si="1"/>
        <v>0</v>
      </c>
    </row>
    <row r="33" spans="2:37">
      <c r="B33" s="107">
        <f t="shared" si="2"/>
        <v>25</v>
      </c>
      <c r="C33" s="86" t="s">
        <v>209</v>
      </c>
      <c r="D33" s="81"/>
      <c r="E33" s="81">
        <f>TRUNC(4.16/1.5+1.9)</f>
        <v>4</v>
      </c>
      <c r="F33" s="81">
        <v>4</v>
      </c>
      <c r="G33" s="52" t="s">
        <v>65</v>
      </c>
      <c r="H33" s="25">
        <v>10.42</v>
      </c>
      <c r="I33" s="25">
        <f t="shared" si="0"/>
        <v>27.84224</v>
      </c>
      <c r="J33" s="59"/>
      <c r="K33" s="16"/>
      <c r="L33" s="16"/>
      <c r="M33" s="34"/>
      <c r="AK33" s="44">
        <f t="shared" si="1"/>
        <v>0.66800000000000004</v>
      </c>
    </row>
    <row r="34" spans="2:37">
      <c r="B34" s="107">
        <f t="shared" si="2"/>
        <v>26</v>
      </c>
      <c r="C34" s="86" t="s">
        <v>210</v>
      </c>
      <c r="D34" s="81"/>
      <c r="E34" s="81">
        <f>TRUNC(10.33/1.5+1.9)</f>
        <v>8</v>
      </c>
      <c r="F34" s="81">
        <v>4</v>
      </c>
      <c r="G34" s="52" t="s">
        <v>57</v>
      </c>
      <c r="H34" s="25">
        <f>3-0.33</f>
        <v>2.67</v>
      </c>
      <c r="I34" s="25">
        <f t="shared" si="0"/>
        <v>14.26848</v>
      </c>
      <c r="J34" s="59"/>
      <c r="R34" s="45"/>
      <c r="AK34" s="44">
        <f t="shared" si="1"/>
        <v>0.66800000000000004</v>
      </c>
    </row>
    <row r="35" spans="2:37">
      <c r="B35" s="107">
        <f t="shared" si="2"/>
        <v>27</v>
      </c>
      <c r="C35" s="31" t="s">
        <v>211</v>
      </c>
      <c r="D35" s="81">
        <v>2</v>
      </c>
      <c r="E35" s="81">
        <f>TRUNC(10.33/1.5+1.9)</f>
        <v>8</v>
      </c>
      <c r="F35" s="81">
        <v>4</v>
      </c>
      <c r="G35" s="52" t="s">
        <v>65</v>
      </c>
      <c r="H35" s="25">
        <f>2.42+0.66</f>
        <v>3.08</v>
      </c>
      <c r="I35" s="25">
        <f t="shared" si="0"/>
        <v>32.919040000000003</v>
      </c>
      <c r="J35" s="59"/>
      <c r="M35" s="215"/>
      <c r="N35" s="215"/>
      <c r="O35" s="215"/>
      <c r="P35" s="215"/>
      <c r="Q35" s="215"/>
      <c r="R35" s="215"/>
      <c r="AK35" s="44">
        <f t="shared" si="1"/>
        <v>0.66800000000000004</v>
      </c>
    </row>
    <row r="36" spans="2:37">
      <c r="B36" s="107">
        <f t="shared" si="2"/>
        <v>28</v>
      </c>
      <c r="C36" s="31" t="s">
        <v>212</v>
      </c>
      <c r="D36" s="81"/>
      <c r="E36" s="81">
        <v>2</v>
      </c>
      <c r="F36" s="81">
        <v>4</v>
      </c>
      <c r="G36" s="52" t="s">
        <v>57</v>
      </c>
      <c r="H36" s="25">
        <f>3-0.33</f>
        <v>2.67</v>
      </c>
      <c r="I36" s="25">
        <f t="shared" si="0"/>
        <v>3.5671200000000001</v>
      </c>
      <c r="J36" s="59"/>
      <c r="M36" s="216"/>
      <c r="N36" s="216"/>
      <c r="O36" s="216"/>
      <c r="P36" s="216"/>
      <c r="Q36" s="216"/>
      <c r="R36" s="216"/>
      <c r="AK36" s="44">
        <f t="shared" si="1"/>
        <v>0.66800000000000004</v>
      </c>
    </row>
    <row r="37" spans="2:37">
      <c r="B37" s="107">
        <f t="shared" si="2"/>
        <v>29</v>
      </c>
      <c r="C37" s="31" t="s">
        <v>213</v>
      </c>
      <c r="D37" s="81"/>
      <c r="E37" s="81">
        <f>TRUNC(10.16/1.5+1.9)</f>
        <v>8</v>
      </c>
      <c r="F37" s="81">
        <v>3</v>
      </c>
      <c r="G37" s="52" t="s">
        <v>57</v>
      </c>
      <c r="H37" s="25">
        <f>3-0.33</f>
        <v>2.67</v>
      </c>
      <c r="I37" s="25">
        <f t="shared" si="0"/>
        <v>8.0313599999999994</v>
      </c>
      <c r="J37" s="59"/>
      <c r="M37" s="217"/>
      <c r="N37" s="217"/>
      <c r="O37" s="217"/>
      <c r="P37" s="217"/>
      <c r="Q37" s="217"/>
      <c r="R37" s="217"/>
      <c r="AK37" s="44">
        <f t="shared" si="1"/>
        <v>0.376</v>
      </c>
    </row>
    <row r="38" spans="2:37">
      <c r="B38" s="107">
        <f t="shared" si="2"/>
        <v>30</v>
      </c>
      <c r="C38" s="98" t="s">
        <v>214</v>
      </c>
      <c r="D38" s="81"/>
      <c r="E38" s="81"/>
      <c r="F38" s="81"/>
      <c r="G38" s="52"/>
      <c r="H38" s="81"/>
      <c r="I38" s="25">
        <f t="shared" si="0"/>
        <v>0</v>
      </c>
      <c r="J38" s="59"/>
      <c r="O38" s="34"/>
      <c r="AK38" s="44">
        <f t="shared" si="1"/>
        <v>0</v>
      </c>
    </row>
    <row r="39" spans="2:37">
      <c r="B39" s="107">
        <f t="shared" si="2"/>
        <v>31</v>
      </c>
      <c r="C39" s="86" t="s">
        <v>209</v>
      </c>
      <c r="D39" s="81"/>
      <c r="E39" s="81">
        <f>TRUNC(3.5/1.5+1.9)</f>
        <v>4</v>
      </c>
      <c r="F39" s="81">
        <v>4</v>
      </c>
      <c r="G39" s="52" t="s">
        <v>57</v>
      </c>
      <c r="H39" s="81">
        <v>9.83</v>
      </c>
      <c r="I39" s="25">
        <f t="shared" si="0"/>
        <v>26.26576</v>
      </c>
      <c r="J39" s="109"/>
      <c r="K39" s="16"/>
      <c r="L39" s="16"/>
      <c r="M39" s="34"/>
      <c r="AK39" s="44">
        <f t="shared" si="1"/>
        <v>0.66800000000000004</v>
      </c>
    </row>
    <row r="40" spans="2:37">
      <c r="B40" s="107">
        <f t="shared" si="2"/>
        <v>32</v>
      </c>
      <c r="C40" s="86" t="s">
        <v>215</v>
      </c>
      <c r="D40" s="81"/>
      <c r="E40" s="81">
        <f>TRUNC(9.83/1.5+1.9)</f>
        <v>8</v>
      </c>
      <c r="F40" s="81">
        <v>4</v>
      </c>
      <c r="G40" s="52" t="s">
        <v>57</v>
      </c>
      <c r="H40" s="25">
        <v>3.5</v>
      </c>
      <c r="I40" s="25">
        <f t="shared" si="0"/>
        <v>18.704000000000001</v>
      </c>
      <c r="J40" s="59"/>
      <c r="K40" s="16"/>
      <c r="L40" s="16"/>
      <c r="O40" s="34"/>
      <c r="AK40" s="44">
        <f t="shared" si="1"/>
        <v>0.66800000000000004</v>
      </c>
    </row>
    <row r="41" spans="2:37">
      <c r="B41" s="107">
        <f t="shared" si="2"/>
        <v>33</v>
      </c>
      <c r="C41" s="98" t="s">
        <v>216</v>
      </c>
      <c r="D41" s="81"/>
      <c r="E41" s="81"/>
      <c r="F41" s="81"/>
      <c r="G41" s="52"/>
      <c r="H41" s="81"/>
      <c r="I41" s="25">
        <f t="shared" si="0"/>
        <v>0</v>
      </c>
      <c r="J41" s="59"/>
      <c r="K41" s="16"/>
      <c r="L41" s="16"/>
      <c r="M41" s="34"/>
      <c r="AK41" s="44">
        <f t="shared" si="1"/>
        <v>0</v>
      </c>
    </row>
    <row r="42" spans="2:37">
      <c r="B42" s="107">
        <f t="shared" si="2"/>
        <v>34</v>
      </c>
      <c r="C42" s="86" t="s">
        <v>209</v>
      </c>
      <c r="D42" s="81"/>
      <c r="E42" s="81">
        <f>TRUNC(4.16/1.5+1.9)</f>
        <v>4</v>
      </c>
      <c r="F42" s="81">
        <v>4</v>
      </c>
      <c r="G42" s="52" t="s">
        <v>65</v>
      </c>
      <c r="H42" s="25">
        <v>12.92</v>
      </c>
      <c r="I42" s="25">
        <f t="shared" si="0"/>
        <v>34.522240000000004</v>
      </c>
      <c r="J42" s="59"/>
      <c r="O42" s="34"/>
      <c r="AK42" s="44">
        <f t="shared" si="1"/>
        <v>0.66800000000000004</v>
      </c>
    </row>
    <row r="43" spans="2:37">
      <c r="B43" s="107">
        <f t="shared" si="2"/>
        <v>35</v>
      </c>
      <c r="C43" s="86" t="s">
        <v>210</v>
      </c>
      <c r="D43" s="81"/>
      <c r="E43" s="81">
        <f>TRUNC(11.42/1.5+1.9)</f>
        <v>9</v>
      </c>
      <c r="F43" s="81">
        <v>4</v>
      </c>
      <c r="G43" s="52" t="s">
        <v>57</v>
      </c>
      <c r="H43" s="25">
        <f>3-0.33</f>
        <v>2.67</v>
      </c>
      <c r="I43" s="25">
        <f t="shared" si="0"/>
        <v>16.052040000000002</v>
      </c>
      <c r="J43" s="59"/>
      <c r="AK43" s="44">
        <f t="shared" si="1"/>
        <v>0.66800000000000004</v>
      </c>
    </row>
    <row r="44" spans="2:37">
      <c r="B44" s="107">
        <f t="shared" si="2"/>
        <v>36</v>
      </c>
      <c r="C44" s="31" t="s">
        <v>211</v>
      </c>
      <c r="D44" s="81">
        <v>2</v>
      </c>
      <c r="E44" s="81">
        <f>TRUNC(11.42/1.5+1.9)</f>
        <v>9</v>
      </c>
      <c r="F44" s="81">
        <v>4</v>
      </c>
      <c r="G44" s="52" t="s">
        <v>65</v>
      </c>
      <c r="H44" s="25">
        <f>2.42+0.66</f>
        <v>3.08</v>
      </c>
      <c r="I44" s="25">
        <f t="shared" si="0"/>
        <v>37.033920000000002</v>
      </c>
      <c r="J44" s="59"/>
      <c r="AK44" s="44">
        <f t="shared" si="1"/>
        <v>0.66800000000000004</v>
      </c>
    </row>
    <row r="45" spans="2:37">
      <c r="B45" s="107">
        <f t="shared" si="2"/>
        <v>37</v>
      </c>
      <c r="C45" s="31" t="s">
        <v>212</v>
      </c>
      <c r="D45" s="81"/>
      <c r="E45" s="81">
        <v>2</v>
      </c>
      <c r="F45" s="81">
        <v>4</v>
      </c>
      <c r="G45" s="52" t="s">
        <v>57</v>
      </c>
      <c r="H45" s="25">
        <f>3-0.33</f>
        <v>2.67</v>
      </c>
      <c r="I45" s="25">
        <f t="shared" si="0"/>
        <v>3.5671200000000001</v>
      </c>
      <c r="J45" s="59"/>
      <c r="AK45" s="44">
        <f t="shared" si="1"/>
        <v>0.66800000000000004</v>
      </c>
    </row>
    <row r="46" spans="2:37">
      <c r="B46" s="107">
        <f t="shared" si="2"/>
        <v>38</v>
      </c>
      <c r="C46" s="31" t="s">
        <v>213</v>
      </c>
      <c r="D46" s="81"/>
      <c r="E46" s="81">
        <v>9</v>
      </c>
      <c r="F46" s="81">
        <v>3</v>
      </c>
      <c r="G46" s="52" t="s">
        <v>57</v>
      </c>
      <c r="H46" s="25">
        <f>3-0.33</f>
        <v>2.67</v>
      </c>
      <c r="I46" s="25">
        <f t="shared" si="0"/>
        <v>9.0352800000000002</v>
      </c>
      <c r="J46" s="59"/>
      <c r="O46" s="34"/>
      <c r="AK46" s="44">
        <f t="shared" si="1"/>
        <v>0.376</v>
      </c>
    </row>
    <row r="47" spans="2:37">
      <c r="B47" s="107">
        <f t="shared" si="2"/>
        <v>39</v>
      </c>
      <c r="C47" s="98" t="s">
        <v>217</v>
      </c>
      <c r="D47" s="81"/>
      <c r="E47" s="81"/>
      <c r="F47" s="81"/>
      <c r="G47" s="52"/>
      <c r="H47" s="81"/>
      <c r="I47" s="25">
        <f t="shared" si="0"/>
        <v>0</v>
      </c>
      <c r="J47" s="109"/>
      <c r="K47" s="16"/>
      <c r="L47" s="16"/>
      <c r="M47" s="34"/>
      <c r="AK47" s="44">
        <f t="shared" si="1"/>
        <v>0</v>
      </c>
    </row>
    <row r="48" spans="2:37">
      <c r="B48" s="107">
        <f t="shared" si="2"/>
        <v>40</v>
      </c>
      <c r="C48" s="86" t="s">
        <v>209</v>
      </c>
      <c r="D48" s="81"/>
      <c r="E48" s="81">
        <f>TRUNC(3.5/1.5+1.9)</f>
        <v>4</v>
      </c>
      <c r="F48" s="81">
        <v>4</v>
      </c>
      <c r="G48" s="52" t="s">
        <v>57</v>
      </c>
      <c r="H48" s="81">
        <v>9.83</v>
      </c>
      <c r="I48" s="25">
        <f t="shared" si="0"/>
        <v>26.26576</v>
      </c>
      <c r="J48" s="59"/>
      <c r="K48" s="16"/>
      <c r="L48" s="16"/>
      <c r="O48" s="34"/>
      <c r="AK48" s="44">
        <f t="shared" si="1"/>
        <v>0.66800000000000004</v>
      </c>
    </row>
    <row r="49" spans="2:37">
      <c r="B49" s="107">
        <f t="shared" si="2"/>
        <v>41</v>
      </c>
      <c r="C49" s="86" t="s">
        <v>215</v>
      </c>
      <c r="D49" s="81"/>
      <c r="E49" s="81">
        <f>TRUNC(9.83/1.5+1.9)</f>
        <v>8</v>
      </c>
      <c r="F49" s="81">
        <v>4</v>
      </c>
      <c r="G49" s="52" t="s">
        <v>57</v>
      </c>
      <c r="H49" s="25">
        <v>3.5</v>
      </c>
      <c r="I49" s="25">
        <f t="shared" si="0"/>
        <v>18.704000000000001</v>
      </c>
      <c r="J49" s="59"/>
      <c r="K49" s="16"/>
      <c r="L49" s="16"/>
      <c r="M49" s="34"/>
      <c r="AK49" s="44">
        <f t="shared" si="1"/>
        <v>0.66800000000000004</v>
      </c>
    </row>
    <row r="50" spans="2:37">
      <c r="B50" s="107">
        <f t="shared" si="2"/>
        <v>42</v>
      </c>
      <c r="C50" s="98" t="s">
        <v>219</v>
      </c>
      <c r="D50" s="81"/>
      <c r="E50" s="81"/>
      <c r="F50" s="81"/>
      <c r="G50" s="52"/>
      <c r="H50" s="25"/>
      <c r="I50" s="25">
        <f t="shared" si="0"/>
        <v>0</v>
      </c>
      <c r="J50" s="59"/>
      <c r="O50" s="34"/>
      <c r="AK50" s="44">
        <f t="shared" si="1"/>
        <v>0</v>
      </c>
    </row>
    <row r="51" spans="2:37">
      <c r="B51" s="107">
        <f t="shared" si="2"/>
        <v>43</v>
      </c>
      <c r="C51" s="98" t="s">
        <v>220</v>
      </c>
      <c r="D51" s="81"/>
      <c r="E51" s="81"/>
      <c r="F51" s="81"/>
      <c r="G51" s="52"/>
      <c r="H51" s="81"/>
      <c r="I51" s="25">
        <f t="shared" si="0"/>
        <v>0</v>
      </c>
      <c r="J51" s="59"/>
      <c r="AK51" s="44">
        <f t="shared" si="1"/>
        <v>0</v>
      </c>
    </row>
    <row r="52" spans="2:37">
      <c r="B52" s="107">
        <f t="shared" si="2"/>
        <v>44</v>
      </c>
      <c r="C52" s="98" t="s">
        <v>207</v>
      </c>
      <c r="D52" s="81"/>
      <c r="E52" s="81"/>
      <c r="F52" s="81"/>
      <c r="G52" s="52"/>
      <c r="H52" s="81"/>
      <c r="I52" s="25">
        <f t="shared" si="0"/>
        <v>0</v>
      </c>
      <c r="J52" s="59"/>
      <c r="AK52" s="44">
        <f t="shared" si="1"/>
        <v>0</v>
      </c>
    </row>
    <row r="53" spans="2:37">
      <c r="B53" s="107">
        <f t="shared" si="2"/>
        <v>45</v>
      </c>
      <c r="C53" s="86" t="s">
        <v>208</v>
      </c>
      <c r="D53" s="81"/>
      <c r="E53" s="81">
        <f>TRUNC(2.66/1.5+1.9)</f>
        <v>3</v>
      </c>
      <c r="F53" s="81">
        <v>4</v>
      </c>
      <c r="G53" s="52" t="s">
        <v>65</v>
      </c>
      <c r="H53" s="81">
        <f>(1.5+0.83-0.16)+(0.83-0.16)</f>
        <v>2.84</v>
      </c>
      <c r="I53" s="25">
        <f t="shared" si="0"/>
        <v>5.6913599999999995</v>
      </c>
      <c r="J53" s="59"/>
      <c r="AK53" s="44">
        <f t="shared" si="1"/>
        <v>0.66800000000000004</v>
      </c>
    </row>
    <row r="54" spans="2:37">
      <c r="B54" s="107">
        <f t="shared" si="2"/>
        <v>46</v>
      </c>
      <c r="C54" s="86" t="s">
        <v>209</v>
      </c>
      <c r="D54" s="81"/>
      <c r="E54" s="81">
        <f>TRUNC(2.66/1.5+1.9)</f>
        <v>3</v>
      </c>
      <c r="F54" s="81">
        <v>4</v>
      </c>
      <c r="G54" s="52" t="s">
        <v>65</v>
      </c>
      <c r="H54" s="25">
        <v>12.92</v>
      </c>
      <c r="I54" s="25">
        <f t="shared" si="0"/>
        <v>25.891680000000001</v>
      </c>
      <c r="J54" s="59"/>
      <c r="O54" s="34"/>
      <c r="AK54" s="44">
        <f t="shared" si="1"/>
        <v>0.66800000000000004</v>
      </c>
    </row>
    <row r="55" spans="2:37">
      <c r="B55" s="107">
        <f t="shared" si="2"/>
        <v>47</v>
      </c>
      <c r="C55" s="86" t="s">
        <v>210</v>
      </c>
      <c r="D55" s="81"/>
      <c r="E55" s="81">
        <f>TRUNC(11.42/1.5+1.9)</f>
        <v>9</v>
      </c>
      <c r="F55" s="81">
        <v>4</v>
      </c>
      <c r="G55" s="52" t="s">
        <v>57</v>
      </c>
      <c r="H55" s="25">
        <f>3-0.33</f>
        <v>2.67</v>
      </c>
      <c r="I55" s="25">
        <f t="shared" si="0"/>
        <v>16.052040000000002</v>
      </c>
      <c r="J55" s="109"/>
      <c r="K55" s="16"/>
      <c r="L55" s="16"/>
      <c r="M55" s="34"/>
      <c r="AK55" s="44">
        <f t="shared" si="1"/>
        <v>0.66800000000000004</v>
      </c>
    </row>
    <row r="56" spans="2:37">
      <c r="B56" s="107">
        <f t="shared" si="2"/>
        <v>48</v>
      </c>
      <c r="C56" s="31" t="s">
        <v>211</v>
      </c>
      <c r="D56" s="81">
        <v>2</v>
      </c>
      <c r="E56" s="81">
        <f>TRUNC(11.42/1.5+1.9)</f>
        <v>9</v>
      </c>
      <c r="F56" s="81">
        <v>4</v>
      </c>
      <c r="G56" s="52" t="s">
        <v>65</v>
      </c>
      <c r="H56" s="25">
        <f>2.42+0.66</f>
        <v>3.08</v>
      </c>
      <c r="I56" s="25">
        <f t="shared" si="0"/>
        <v>37.033920000000002</v>
      </c>
      <c r="J56" s="59"/>
      <c r="K56" s="16"/>
      <c r="L56" s="16"/>
      <c r="O56" s="34"/>
      <c r="AK56" s="44">
        <f t="shared" si="1"/>
        <v>0.66800000000000004</v>
      </c>
    </row>
    <row r="57" spans="2:37">
      <c r="B57" s="107">
        <f t="shared" si="2"/>
        <v>49</v>
      </c>
      <c r="C57" s="31" t="s">
        <v>212</v>
      </c>
      <c r="D57" s="81"/>
      <c r="E57" s="81">
        <v>2</v>
      </c>
      <c r="F57" s="81">
        <v>4</v>
      </c>
      <c r="G57" s="52" t="s">
        <v>57</v>
      </c>
      <c r="H57" s="25">
        <f>3-0.33</f>
        <v>2.67</v>
      </c>
      <c r="I57" s="25">
        <f t="shared" si="0"/>
        <v>3.5671200000000001</v>
      </c>
      <c r="J57" s="59"/>
      <c r="K57" s="16"/>
      <c r="L57" s="16"/>
      <c r="M57" s="34"/>
      <c r="AK57" s="44">
        <f t="shared" si="1"/>
        <v>0.66800000000000004</v>
      </c>
    </row>
    <row r="58" spans="2:37">
      <c r="B58" s="107">
        <f t="shared" si="2"/>
        <v>50</v>
      </c>
      <c r="C58" s="31" t="s">
        <v>213</v>
      </c>
      <c r="D58" s="81"/>
      <c r="E58" s="81">
        <v>9</v>
      </c>
      <c r="F58" s="81">
        <v>3</v>
      </c>
      <c r="G58" s="52" t="s">
        <v>57</v>
      </c>
      <c r="H58" s="25">
        <f>3-0.33</f>
        <v>2.67</v>
      </c>
      <c r="I58" s="25">
        <f t="shared" si="0"/>
        <v>9.0352800000000002</v>
      </c>
      <c r="J58" s="59"/>
      <c r="O58" s="34"/>
      <c r="AK58" s="44">
        <f t="shared" si="1"/>
        <v>0.376</v>
      </c>
    </row>
    <row r="59" spans="2:37">
      <c r="B59" s="107">
        <f t="shared" si="2"/>
        <v>51</v>
      </c>
      <c r="C59" s="98" t="s">
        <v>214</v>
      </c>
      <c r="D59" s="81"/>
      <c r="E59" s="81"/>
      <c r="F59" s="81"/>
      <c r="G59" s="52"/>
      <c r="H59" s="81"/>
      <c r="I59" s="25">
        <f t="shared" si="0"/>
        <v>0</v>
      </c>
      <c r="J59" s="59"/>
      <c r="AK59" s="44">
        <f t="shared" si="1"/>
        <v>0</v>
      </c>
    </row>
    <row r="60" spans="2:37">
      <c r="B60" s="107">
        <f t="shared" si="2"/>
        <v>52</v>
      </c>
      <c r="C60" s="86" t="s">
        <v>209</v>
      </c>
      <c r="D60" s="81"/>
      <c r="E60" s="81">
        <f>TRUNC(7.92/1.5+1.9)</f>
        <v>7</v>
      </c>
      <c r="F60" s="81">
        <v>4</v>
      </c>
      <c r="G60" s="52" t="s">
        <v>57</v>
      </c>
      <c r="H60" s="81">
        <v>9.83</v>
      </c>
      <c r="I60" s="25">
        <f t="shared" si="0"/>
        <v>45.96508</v>
      </c>
      <c r="J60" s="59"/>
      <c r="AK60" s="44">
        <f t="shared" si="1"/>
        <v>0.66800000000000004</v>
      </c>
    </row>
    <row r="61" spans="2:37">
      <c r="B61" s="107">
        <f t="shared" si="2"/>
        <v>53</v>
      </c>
      <c r="C61" s="86" t="s">
        <v>210</v>
      </c>
      <c r="D61" s="81"/>
      <c r="E61" s="81">
        <f>TRUNC(9.83/1.5+1.9)</f>
        <v>8</v>
      </c>
      <c r="F61" s="81">
        <v>4</v>
      </c>
      <c r="G61" s="52" t="s">
        <v>57</v>
      </c>
      <c r="H61" s="25">
        <v>7.92</v>
      </c>
      <c r="I61" s="25">
        <f t="shared" si="0"/>
        <v>42.324480000000001</v>
      </c>
      <c r="J61" s="59"/>
      <c r="AK61" s="44">
        <f t="shared" si="1"/>
        <v>0.66800000000000004</v>
      </c>
    </row>
    <row r="62" spans="2:37">
      <c r="B62" s="107">
        <f t="shared" si="2"/>
        <v>54</v>
      </c>
      <c r="C62" s="98" t="s">
        <v>216</v>
      </c>
      <c r="D62" s="81"/>
      <c r="E62" s="81"/>
      <c r="F62" s="81"/>
      <c r="G62" s="52"/>
      <c r="H62" s="81"/>
      <c r="I62" s="25">
        <f t="shared" si="0"/>
        <v>0</v>
      </c>
      <c r="J62" s="59"/>
      <c r="AK62" s="44">
        <f t="shared" si="1"/>
        <v>0</v>
      </c>
    </row>
    <row r="63" spans="2:37">
      <c r="B63" s="107">
        <f t="shared" si="2"/>
        <v>55</v>
      </c>
      <c r="C63" s="86" t="s">
        <v>209</v>
      </c>
      <c r="D63" s="81"/>
      <c r="E63" s="81">
        <f>TRUNC(4.16/1.5+1.9)</f>
        <v>4</v>
      </c>
      <c r="F63" s="81">
        <v>4</v>
      </c>
      <c r="G63" s="52" t="s">
        <v>65</v>
      </c>
      <c r="H63" s="25">
        <v>12.92</v>
      </c>
      <c r="I63" s="25">
        <f t="shared" si="0"/>
        <v>34.522240000000004</v>
      </c>
      <c r="J63" s="59"/>
      <c r="AK63" s="44">
        <f t="shared" si="1"/>
        <v>0.66800000000000004</v>
      </c>
    </row>
    <row r="64" spans="2:37">
      <c r="B64" s="107">
        <f t="shared" si="2"/>
        <v>56</v>
      </c>
      <c r="C64" s="86" t="s">
        <v>210</v>
      </c>
      <c r="D64" s="81"/>
      <c r="E64" s="81">
        <f>TRUNC(10.33/1.5+1.9)</f>
        <v>8</v>
      </c>
      <c r="F64" s="81">
        <v>4</v>
      </c>
      <c r="G64" s="52" t="s">
        <v>57</v>
      </c>
      <c r="H64" s="25">
        <f>3-0.33</f>
        <v>2.67</v>
      </c>
      <c r="I64" s="25">
        <f t="shared" si="0"/>
        <v>14.26848</v>
      </c>
      <c r="J64" s="59"/>
      <c r="O64" s="34"/>
      <c r="AK64" s="44">
        <f t="shared" si="1"/>
        <v>0.66800000000000004</v>
      </c>
    </row>
    <row r="65" spans="2:37">
      <c r="B65" s="107">
        <f t="shared" si="2"/>
        <v>57</v>
      </c>
      <c r="C65" s="31" t="s">
        <v>211</v>
      </c>
      <c r="D65" s="81">
        <v>2</v>
      </c>
      <c r="E65" s="81">
        <f>TRUNC(10.33/1.5+1.9)</f>
        <v>8</v>
      </c>
      <c r="F65" s="81">
        <v>4</v>
      </c>
      <c r="G65" s="52" t="s">
        <v>65</v>
      </c>
      <c r="H65" s="25">
        <f>2.42+0.66</f>
        <v>3.08</v>
      </c>
      <c r="I65" s="25">
        <f t="shared" si="0"/>
        <v>32.919040000000003</v>
      </c>
      <c r="J65" s="109"/>
      <c r="K65" s="16"/>
      <c r="L65" s="16"/>
      <c r="M65" s="34"/>
      <c r="AK65" s="44">
        <f t="shared" si="1"/>
        <v>0.66800000000000004</v>
      </c>
    </row>
    <row r="66" spans="2:37">
      <c r="B66" s="107">
        <f t="shared" si="2"/>
        <v>58</v>
      </c>
      <c r="C66" s="31" t="s">
        <v>212</v>
      </c>
      <c r="D66" s="81"/>
      <c r="E66" s="81">
        <v>2</v>
      </c>
      <c r="F66" s="81">
        <v>4</v>
      </c>
      <c r="G66" s="52" t="s">
        <v>57</v>
      </c>
      <c r="H66" s="25">
        <f>3-0.33</f>
        <v>2.67</v>
      </c>
      <c r="I66" s="25">
        <f t="shared" si="0"/>
        <v>3.5671200000000001</v>
      </c>
      <c r="J66" s="59"/>
      <c r="K66" s="16"/>
      <c r="L66" s="16"/>
      <c r="O66" s="34"/>
      <c r="AK66" s="44">
        <f t="shared" si="1"/>
        <v>0.66800000000000004</v>
      </c>
    </row>
    <row r="67" spans="2:37">
      <c r="B67" s="107">
        <f t="shared" si="2"/>
        <v>59</v>
      </c>
      <c r="C67" s="31" t="s">
        <v>213</v>
      </c>
      <c r="D67" s="81"/>
      <c r="E67" s="81">
        <v>8</v>
      </c>
      <c r="F67" s="81">
        <v>3</v>
      </c>
      <c r="G67" s="52" t="s">
        <v>57</v>
      </c>
      <c r="H67" s="25">
        <f>3-0.33</f>
        <v>2.67</v>
      </c>
      <c r="I67" s="25">
        <f t="shared" si="0"/>
        <v>8.0313599999999994</v>
      </c>
      <c r="J67" s="59"/>
      <c r="K67" s="16"/>
      <c r="L67" s="16"/>
      <c r="M67" s="34"/>
      <c r="AK67" s="44">
        <f t="shared" si="1"/>
        <v>0.376</v>
      </c>
    </row>
    <row r="68" spans="2:37">
      <c r="B68" s="107">
        <f t="shared" si="2"/>
        <v>60</v>
      </c>
      <c r="C68" s="98" t="s">
        <v>217</v>
      </c>
      <c r="D68" s="81"/>
      <c r="E68" s="81"/>
      <c r="F68" s="81"/>
      <c r="G68" s="52"/>
      <c r="H68" s="81"/>
      <c r="I68" s="25">
        <f t="shared" si="0"/>
        <v>0</v>
      </c>
      <c r="J68" s="59"/>
      <c r="O68" s="34"/>
      <c r="AK68" s="44">
        <f t="shared" si="1"/>
        <v>0</v>
      </c>
    </row>
    <row r="69" spans="2:37">
      <c r="B69" s="107">
        <f t="shared" si="2"/>
        <v>61</v>
      </c>
      <c r="C69" s="86" t="s">
        <v>209</v>
      </c>
      <c r="D69" s="81"/>
      <c r="E69" s="81">
        <f>TRUNC(7.92/1.5+1.9)</f>
        <v>7</v>
      </c>
      <c r="F69" s="81">
        <v>4</v>
      </c>
      <c r="G69" s="52" t="s">
        <v>57</v>
      </c>
      <c r="H69" s="81">
        <v>9.83</v>
      </c>
      <c r="I69" s="25">
        <f t="shared" si="0"/>
        <v>45.96508</v>
      </c>
      <c r="J69" s="59"/>
      <c r="AK69" s="44">
        <f t="shared" si="1"/>
        <v>0.66800000000000004</v>
      </c>
    </row>
    <row r="70" spans="2:37">
      <c r="B70" s="107">
        <f t="shared" si="2"/>
        <v>62</v>
      </c>
      <c r="C70" s="86" t="s">
        <v>210</v>
      </c>
      <c r="D70" s="81"/>
      <c r="E70" s="81">
        <f>TRUNC(9.83/1.5+1.9)</f>
        <v>8</v>
      </c>
      <c r="F70" s="81">
        <v>4</v>
      </c>
      <c r="G70" s="52" t="s">
        <v>57</v>
      </c>
      <c r="H70" s="25">
        <v>7.92</v>
      </c>
      <c r="I70" s="25">
        <f t="shared" si="0"/>
        <v>42.324480000000001</v>
      </c>
      <c r="J70" s="59"/>
      <c r="AK70" s="44">
        <f t="shared" si="1"/>
        <v>0.66800000000000004</v>
      </c>
    </row>
    <row r="71" spans="2:37">
      <c r="B71" s="107">
        <f t="shared" si="2"/>
        <v>63</v>
      </c>
      <c r="C71" s="98" t="s">
        <v>221</v>
      </c>
      <c r="D71" s="81"/>
      <c r="E71" s="81"/>
      <c r="F71" s="81"/>
      <c r="G71" s="52"/>
      <c r="H71" s="25"/>
      <c r="I71" s="25">
        <f t="shared" si="0"/>
        <v>0</v>
      </c>
      <c r="J71" s="59"/>
      <c r="AK71" s="44">
        <f t="shared" si="1"/>
        <v>0</v>
      </c>
    </row>
    <row r="72" spans="2:37">
      <c r="B72" s="107">
        <f t="shared" si="2"/>
        <v>64</v>
      </c>
      <c r="C72" s="98" t="s">
        <v>207</v>
      </c>
      <c r="D72" s="81"/>
      <c r="E72" s="81"/>
      <c r="F72" s="81"/>
      <c r="G72" s="52"/>
      <c r="H72" s="81"/>
      <c r="I72" s="25">
        <f t="shared" si="0"/>
        <v>0</v>
      </c>
      <c r="J72" s="59"/>
      <c r="AK72" s="44">
        <f t="shared" si="1"/>
        <v>0</v>
      </c>
    </row>
    <row r="73" spans="2:37">
      <c r="B73" s="107">
        <f t="shared" si="2"/>
        <v>65</v>
      </c>
      <c r="C73" s="86" t="s">
        <v>208</v>
      </c>
      <c r="D73" s="81"/>
      <c r="E73" s="81">
        <f>TRUNC(2.66/1.5+1.9)</f>
        <v>3</v>
      </c>
      <c r="F73" s="81">
        <v>4</v>
      </c>
      <c r="G73" s="52" t="s">
        <v>65</v>
      </c>
      <c r="H73" s="81">
        <f>(1.5+0.83-0.16)+(0.83-0.16)</f>
        <v>2.84</v>
      </c>
      <c r="I73" s="25">
        <f t="shared" ref="I73:I108" si="3">IF(D73="",AK73*H73*E73,AK73*H73*E73*D73)</f>
        <v>5.6913599999999995</v>
      </c>
      <c r="J73" s="59"/>
      <c r="AK73" s="44">
        <f t="shared" ref="AK73:AK119" si="4">IF(F73="",0,VLOOKUP(F73,$CI$16:$CJ$34,2,FALSE))</f>
        <v>0.66800000000000004</v>
      </c>
    </row>
    <row r="74" spans="2:37">
      <c r="B74" s="107">
        <f t="shared" ref="B74:B108" si="5">IF(B73="SL.NO",1,B73+1)</f>
        <v>66</v>
      </c>
      <c r="C74" s="86" t="s">
        <v>209</v>
      </c>
      <c r="D74" s="81"/>
      <c r="E74" s="81">
        <f>TRUNC(2.66/1.5+1.9)</f>
        <v>3</v>
      </c>
      <c r="F74" s="81">
        <v>4</v>
      </c>
      <c r="G74" s="52" t="s">
        <v>65</v>
      </c>
      <c r="H74" s="25">
        <v>12.92</v>
      </c>
      <c r="I74" s="25">
        <f t="shared" si="3"/>
        <v>25.891680000000001</v>
      </c>
      <c r="J74" s="59"/>
      <c r="O74" s="34"/>
      <c r="AK74" s="44">
        <f t="shared" si="4"/>
        <v>0.66800000000000004</v>
      </c>
    </row>
    <row r="75" spans="2:37">
      <c r="B75" s="107">
        <f t="shared" si="5"/>
        <v>67</v>
      </c>
      <c r="C75" s="86" t="s">
        <v>210</v>
      </c>
      <c r="D75" s="81"/>
      <c r="E75" s="81">
        <f>TRUNC(11.42/1.5+1.9)</f>
        <v>9</v>
      </c>
      <c r="F75" s="81">
        <v>4</v>
      </c>
      <c r="G75" s="52" t="s">
        <v>57</v>
      </c>
      <c r="H75" s="25">
        <f>3-0.33</f>
        <v>2.67</v>
      </c>
      <c r="I75" s="25">
        <f t="shared" si="3"/>
        <v>16.052040000000002</v>
      </c>
      <c r="J75" s="109"/>
      <c r="K75" s="16"/>
      <c r="L75" s="16"/>
      <c r="M75" s="34"/>
      <c r="AK75" s="44">
        <f t="shared" si="4"/>
        <v>0.66800000000000004</v>
      </c>
    </row>
    <row r="76" spans="2:37">
      <c r="B76" s="107">
        <f t="shared" si="5"/>
        <v>68</v>
      </c>
      <c r="C76" s="31" t="s">
        <v>211</v>
      </c>
      <c r="D76" s="81">
        <v>2</v>
      </c>
      <c r="E76" s="81">
        <f>TRUNC(11.42/1.5+1.9)</f>
        <v>9</v>
      </c>
      <c r="F76" s="81">
        <v>4</v>
      </c>
      <c r="G76" s="52" t="s">
        <v>65</v>
      </c>
      <c r="H76" s="25">
        <f>2.42+0.66</f>
        <v>3.08</v>
      </c>
      <c r="I76" s="25">
        <f t="shared" si="3"/>
        <v>37.033920000000002</v>
      </c>
      <c r="J76" s="59"/>
      <c r="K76" s="16"/>
      <c r="L76" s="16"/>
      <c r="O76" s="34"/>
      <c r="AK76" s="44">
        <f t="shared" si="4"/>
        <v>0.66800000000000004</v>
      </c>
    </row>
    <row r="77" spans="2:37">
      <c r="B77" s="107">
        <f t="shared" si="5"/>
        <v>69</v>
      </c>
      <c r="C77" s="31" t="s">
        <v>212</v>
      </c>
      <c r="D77" s="81"/>
      <c r="E77" s="81">
        <v>2</v>
      </c>
      <c r="F77" s="81">
        <v>4</v>
      </c>
      <c r="G77" s="52" t="s">
        <v>57</v>
      </c>
      <c r="H77" s="25">
        <f>3-0.33</f>
        <v>2.67</v>
      </c>
      <c r="I77" s="25">
        <f t="shared" si="3"/>
        <v>3.5671200000000001</v>
      </c>
      <c r="J77" s="59"/>
      <c r="K77" s="16"/>
      <c r="L77" s="16"/>
      <c r="M77" s="34"/>
      <c r="AK77" s="44">
        <f t="shared" si="4"/>
        <v>0.66800000000000004</v>
      </c>
    </row>
    <row r="78" spans="2:37">
      <c r="B78" s="107">
        <f t="shared" si="5"/>
        <v>70</v>
      </c>
      <c r="C78" s="31" t="s">
        <v>213</v>
      </c>
      <c r="D78" s="81"/>
      <c r="E78" s="81">
        <v>9</v>
      </c>
      <c r="F78" s="81">
        <v>3</v>
      </c>
      <c r="G78" s="52" t="s">
        <v>57</v>
      </c>
      <c r="H78" s="25">
        <f>3-0.33</f>
        <v>2.67</v>
      </c>
      <c r="I78" s="25">
        <f t="shared" si="3"/>
        <v>9.0352800000000002</v>
      </c>
      <c r="J78" s="59"/>
      <c r="O78" s="34"/>
      <c r="AK78" s="44">
        <f t="shared" si="4"/>
        <v>0.376</v>
      </c>
    </row>
    <row r="79" spans="2:37">
      <c r="B79" s="107">
        <f t="shared" si="5"/>
        <v>71</v>
      </c>
      <c r="C79" s="98" t="s">
        <v>214</v>
      </c>
      <c r="D79" s="81"/>
      <c r="E79" s="81"/>
      <c r="F79" s="81"/>
      <c r="G79" s="52"/>
      <c r="H79" s="81"/>
      <c r="I79" s="25">
        <f t="shared" si="3"/>
        <v>0</v>
      </c>
      <c r="J79" s="59"/>
      <c r="AK79" s="44">
        <f t="shared" si="4"/>
        <v>0</v>
      </c>
    </row>
    <row r="80" spans="2:37">
      <c r="B80" s="107">
        <f t="shared" si="5"/>
        <v>72</v>
      </c>
      <c r="C80" s="86" t="s">
        <v>209</v>
      </c>
      <c r="D80" s="81"/>
      <c r="E80" s="81">
        <f>TRUNC(7.92/1.5+1.9)</f>
        <v>7</v>
      </c>
      <c r="F80" s="81">
        <v>4</v>
      </c>
      <c r="G80" s="52" t="s">
        <v>57</v>
      </c>
      <c r="H80" s="81">
        <v>9.83</v>
      </c>
      <c r="I80" s="25">
        <f t="shared" si="3"/>
        <v>45.96508</v>
      </c>
      <c r="J80" s="59"/>
      <c r="AK80" s="44">
        <f t="shared" si="4"/>
        <v>0.66800000000000004</v>
      </c>
    </row>
    <row r="81" spans="2:37">
      <c r="B81" s="107">
        <f t="shared" si="5"/>
        <v>73</v>
      </c>
      <c r="C81" s="86" t="s">
        <v>210</v>
      </c>
      <c r="D81" s="81"/>
      <c r="E81" s="81">
        <f>TRUNC(9.83/1.5+1.9)</f>
        <v>8</v>
      </c>
      <c r="F81" s="81">
        <v>4</v>
      </c>
      <c r="G81" s="52" t="s">
        <v>57</v>
      </c>
      <c r="H81" s="25">
        <v>7.92</v>
      </c>
      <c r="I81" s="25">
        <f t="shared" si="3"/>
        <v>42.324480000000001</v>
      </c>
      <c r="J81" s="59"/>
      <c r="AK81" s="44">
        <f t="shared" si="4"/>
        <v>0.66800000000000004</v>
      </c>
    </row>
    <row r="82" spans="2:37">
      <c r="B82" s="107">
        <f t="shared" si="5"/>
        <v>74</v>
      </c>
      <c r="C82" s="98" t="s">
        <v>216</v>
      </c>
      <c r="D82" s="81"/>
      <c r="E82" s="81"/>
      <c r="F82" s="81"/>
      <c r="G82" s="52"/>
      <c r="H82" s="81"/>
      <c r="I82" s="25">
        <f t="shared" si="3"/>
        <v>0</v>
      </c>
      <c r="J82" s="59"/>
      <c r="AK82" s="44">
        <f t="shared" si="4"/>
        <v>0</v>
      </c>
    </row>
    <row r="83" spans="2:37">
      <c r="B83" s="107">
        <f t="shared" si="5"/>
        <v>75</v>
      </c>
      <c r="C83" s="86" t="s">
        <v>209</v>
      </c>
      <c r="D83" s="81"/>
      <c r="E83" s="81">
        <f>TRUNC(4.16/1.5+1.9)</f>
        <v>4</v>
      </c>
      <c r="F83" s="81">
        <v>4</v>
      </c>
      <c r="G83" s="52" t="s">
        <v>65</v>
      </c>
      <c r="H83" s="25">
        <v>18.329999999999998</v>
      </c>
      <c r="I83" s="25">
        <f t="shared" si="3"/>
        <v>48.977759999999996</v>
      </c>
      <c r="J83" s="59"/>
      <c r="AK83" s="44">
        <f t="shared" si="4"/>
        <v>0.66800000000000004</v>
      </c>
    </row>
    <row r="84" spans="2:37">
      <c r="B84" s="107">
        <f t="shared" si="5"/>
        <v>76</v>
      </c>
      <c r="C84" s="86" t="s">
        <v>210</v>
      </c>
      <c r="D84" s="81"/>
      <c r="E84" s="81">
        <f>TRUNC(16.83/1.5+1.9)</f>
        <v>13</v>
      </c>
      <c r="F84" s="81">
        <v>4</v>
      </c>
      <c r="G84" s="52" t="s">
        <v>57</v>
      </c>
      <c r="H84" s="25">
        <f>3-0.33</f>
        <v>2.67</v>
      </c>
      <c r="I84" s="25">
        <f t="shared" si="3"/>
        <v>23.18628</v>
      </c>
      <c r="J84" s="59"/>
      <c r="O84" s="34"/>
      <c r="AK84" s="44">
        <f t="shared" si="4"/>
        <v>0.66800000000000004</v>
      </c>
    </row>
    <row r="85" spans="2:37">
      <c r="B85" s="107">
        <f t="shared" si="5"/>
        <v>77</v>
      </c>
      <c r="C85" s="31" t="s">
        <v>211</v>
      </c>
      <c r="D85" s="81">
        <v>2</v>
      </c>
      <c r="E85" s="81">
        <f>TRUNC(16.83/1.5+1.9)</f>
        <v>13</v>
      </c>
      <c r="F85" s="81">
        <v>4</v>
      </c>
      <c r="G85" s="52" t="s">
        <v>65</v>
      </c>
      <c r="H85" s="25">
        <f>2.42+0.66</f>
        <v>3.08</v>
      </c>
      <c r="I85" s="25">
        <f t="shared" si="3"/>
        <v>53.493440000000007</v>
      </c>
      <c r="J85" s="109"/>
      <c r="K85" s="16"/>
      <c r="L85" s="16"/>
      <c r="M85" s="34"/>
      <c r="AK85" s="44">
        <f t="shared" si="4"/>
        <v>0.66800000000000004</v>
      </c>
    </row>
    <row r="86" spans="2:37">
      <c r="B86" s="107">
        <f t="shared" si="5"/>
        <v>78</v>
      </c>
      <c r="C86" s="31" t="s">
        <v>212</v>
      </c>
      <c r="D86" s="81"/>
      <c r="E86" s="81">
        <v>2</v>
      </c>
      <c r="F86" s="81">
        <v>4</v>
      </c>
      <c r="G86" s="52" t="s">
        <v>57</v>
      </c>
      <c r="H86" s="25">
        <f>3-0.33</f>
        <v>2.67</v>
      </c>
      <c r="I86" s="25">
        <f t="shared" si="3"/>
        <v>3.5671200000000001</v>
      </c>
      <c r="J86" s="59"/>
      <c r="K86" s="16"/>
      <c r="L86" s="16"/>
      <c r="M86" s="34"/>
      <c r="AK86" s="44">
        <f t="shared" si="4"/>
        <v>0.66800000000000004</v>
      </c>
    </row>
    <row r="87" spans="2:37">
      <c r="B87" s="107">
        <f t="shared" si="5"/>
        <v>79</v>
      </c>
      <c r="C87" s="31" t="s">
        <v>213</v>
      </c>
      <c r="D87" s="81"/>
      <c r="E87" s="81">
        <v>13</v>
      </c>
      <c r="F87" s="81">
        <v>3</v>
      </c>
      <c r="G87" s="52" t="s">
        <v>57</v>
      </c>
      <c r="H87" s="25">
        <f>3-0.33</f>
        <v>2.67</v>
      </c>
      <c r="I87" s="25">
        <f t="shared" si="3"/>
        <v>13.05096</v>
      </c>
      <c r="J87" s="59"/>
      <c r="O87" s="34"/>
      <c r="AK87" s="44">
        <f t="shared" si="4"/>
        <v>0.376</v>
      </c>
    </row>
    <row r="88" spans="2:37">
      <c r="B88" s="107">
        <f t="shared" si="5"/>
        <v>80</v>
      </c>
      <c r="C88" s="98" t="s">
        <v>217</v>
      </c>
      <c r="D88" s="81"/>
      <c r="E88" s="81"/>
      <c r="F88" s="81"/>
      <c r="G88" s="52"/>
      <c r="H88" s="81"/>
      <c r="I88" s="25">
        <f t="shared" si="3"/>
        <v>0</v>
      </c>
      <c r="J88" s="59"/>
      <c r="AK88" s="44">
        <f t="shared" si="4"/>
        <v>0</v>
      </c>
    </row>
    <row r="89" spans="2:37">
      <c r="B89" s="107">
        <f t="shared" si="5"/>
        <v>81</v>
      </c>
      <c r="C89" s="86" t="s">
        <v>209</v>
      </c>
      <c r="D89" s="81"/>
      <c r="E89" s="81">
        <f>TRUNC(7.92/1.5+1.9)</f>
        <v>7</v>
      </c>
      <c r="F89" s="81">
        <v>4</v>
      </c>
      <c r="G89" s="52" t="s">
        <v>57</v>
      </c>
      <c r="H89" s="81">
        <v>9.83</v>
      </c>
      <c r="I89" s="25">
        <f t="shared" si="3"/>
        <v>45.96508</v>
      </c>
      <c r="J89" s="59"/>
      <c r="AK89" s="44">
        <f t="shared" si="4"/>
        <v>0.66800000000000004</v>
      </c>
    </row>
    <row r="90" spans="2:37">
      <c r="B90" s="107">
        <f t="shared" si="5"/>
        <v>82</v>
      </c>
      <c r="C90" s="86" t="s">
        <v>210</v>
      </c>
      <c r="D90" s="81"/>
      <c r="E90" s="81">
        <f>TRUNC(9.83/1.5+1.9)</f>
        <v>8</v>
      </c>
      <c r="F90" s="81">
        <v>4</v>
      </c>
      <c r="G90" s="52" t="s">
        <v>57</v>
      </c>
      <c r="H90" s="25">
        <v>7.92</v>
      </c>
      <c r="I90" s="25">
        <f t="shared" si="3"/>
        <v>42.324480000000001</v>
      </c>
      <c r="J90" s="59"/>
      <c r="AK90" s="44">
        <f t="shared" si="4"/>
        <v>0.66800000000000004</v>
      </c>
    </row>
    <row r="91" spans="2:37">
      <c r="B91" s="107">
        <f t="shared" si="5"/>
        <v>83</v>
      </c>
      <c r="C91" s="86" t="s">
        <v>222</v>
      </c>
      <c r="D91" s="81"/>
      <c r="E91" s="81">
        <v>35</v>
      </c>
      <c r="F91" s="81">
        <v>4</v>
      </c>
      <c r="G91" s="52" t="s">
        <v>57</v>
      </c>
      <c r="H91" s="25">
        <v>10</v>
      </c>
      <c r="I91" s="25">
        <f t="shared" si="3"/>
        <v>233.8</v>
      </c>
      <c r="J91" s="59"/>
      <c r="AK91" s="44">
        <f t="shared" si="4"/>
        <v>0.66800000000000004</v>
      </c>
    </row>
    <row r="92" spans="2:37">
      <c r="B92" s="107">
        <f t="shared" si="5"/>
        <v>84</v>
      </c>
      <c r="C92" s="87" t="s">
        <v>527</v>
      </c>
      <c r="D92" s="39"/>
      <c r="E92" s="39"/>
      <c r="F92" s="139"/>
      <c r="G92" s="40"/>
      <c r="H92" s="27"/>
      <c r="I92" s="25">
        <f t="shared" si="3"/>
        <v>0</v>
      </c>
      <c r="J92" s="59"/>
      <c r="AK92" s="44">
        <f t="shared" si="4"/>
        <v>0</v>
      </c>
    </row>
    <row r="93" spans="2:37">
      <c r="B93" s="107">
        <f t="shared" si="5"/>
        <v>85</v>
      </c>
      <c r="C93" s="87" t="s">
        <v>528</v>
      </c>
      <c r="D93" s="39"/>
      <c r="E93" s="39"/>
      <c r="F93" s="139"/>
      <c r="G93" s="40"/>
      <c r="H93" s="27"/>
      <c r="I93" s="25">
        <f t="shared" si="3"/>
        <v>0</v>
      </c>
      <c r="J93" s="59"/>
      <c r="O93" s="34"/>
      <c r="AK93" s="44">
        <f t="shared" si="4"/>
        <v>0</v>
      </c>
    </row>
    <row r="94" spans="2:37">
      <c r="B94" s="107">
        <f t="shared" si="5"/>
        <v>86</v>
      </c>
      <c r="C94" s="97" t="s">
        <v>529</v>
      </c>
      <c r="D94" s="39"/>
      <c r="E94" s="39">
        <f>TRUNC(3.25/1+1.9)</f>
        <v>5</v>
      </c>
      <c r="F94" s="139">
        <v>5</v>
      </c>
      <c r="G94" s="40" t="s">
        <v>65</v>
      </c>
      <c r="H94" s="27">
        <f>2+3.5</f>
        <v>5.5</v>
      </c>
      <c r="I94" s="25">
        <f t="shared" si="3"/>
        <v>28.682499999999997</v>
      </c>
      <c r="J94" s="109"/>
      <c r="K94" s="16"/>
      <c r="L94" s="16"/>
      <c r="M94" s="34"/>
      <c r="AK94" s="44">
        <f t="shared" si="4"/>
        <v>1.0429999999999999</v>
      </c>
    </row>
    <row r="95" spans="2:37">
      <c r="B95" s="107">
        <f t="shared" si="5"/>
        <v>87</v>
      </c>
      <c r="C95" s="97" t="s">
        <v>101</v>
      </c>
      <c r="D95" s="39"/>
      <c r="E95" s="39">
        <f>TRUNC(3.25/1+1.9)</f>
        <v>5</v>
      </c>
      <c r="F95" s="139">
        <v>5</v>
      </c>
      <c r="G95" s="40" t="s">
        <v>57</v>
      </c>
      <c r="H95" s="27">
        <f>21.17+2</f>
        <v>23.17</v>
      </c>
      <c r="I95" s="25">
        <f t="shared" si="3"/>
        <v>120.83154999999999</v>
      </c>
      <c r="J95" s="59"/>
      <c r="K95" s="16"/>
      <c r="L95" s="16"/>
      <c r="O95" s="34"/>
      <c r="AK95" s="44">
        <f t="shared" si="4"/>
        <v>1.0429999999999999</v>
      </c>
    </row>
    <row r="96" spans="2:37">
      <c r="B96" s="107">
        <f t="shared" si="5"/>
        <v>88</v>
      </c>
      <c r="C96" s="97" t="s">
        <v>97</v>
      </c>
      <c r="D96" s="39"/>
      <c r="E96" s="39">
        <f>TRUNC((19.67-0.17*2)/1+1.9)</f>
        <v>21</v>
      </c>
      <c r="F96" s="139">
        <v>5</v>
      </c>
      <c r="G96" s="40" t="s">
        <v>57</v>
      </c>
      <c r="H96" s="27">
        <f>4.67-0.17*2</f>
        <v>4.33</v>
      </c>
      <c r="I96" s="25">
        <f t="shared" si="3"/>
        <v>94.83999</v>
      </c>
      <c r="J96" s="59"/>
      <c r="K96" s="16"/>
      <c r="L96" s="16"/>
      <c r="M96" s="34"/>
      <c r="AK96" s="44">
        <f t="shared" si="4"/>
        <v>1.0429999999999999</v>
      </c>
    </row>
    <row r="97" spans="2:84">
      <c r="B97" s="107">
        <f t="shared" si="5"/>
        <v>89</v>
      </c>
      <c r="C97" s="97" t="s">
        <v>213</v>
      </c>
      <c r="D97" s="39">
        <v>21</v>
      </c>
      <c r="E97" s="39">
        <v>1</v>
      </c>
      <c r="F97" s="139">
        <v>3</v>
      </c>
      <c r="G97" s="40" t="s">
        <v>57</v>
      </c>
      <c r="H97" s="27">
        <f>4.67-0.17*2</f>
        <v>4.33</v>
      </c>
      <c r="I97" s="25">
        <f t="shared" si="3"/>
        <v>34.189680000000003</v>
      </c>
      <c r="J97" s="59"/>
      <c r="O97" s="34"/>
      <c r="AK97" s="44">
        <f t="shared" si="4"/>
        <v>0.376</v>
      </c>
    </row>
    <row r="98" spans="2:84">
      <c r="B98" s="107">
        <f t="shared" si="5"/>
        <v>90</v>
      </c>
      <c r="C98" s="87" t="s">
        <v>530</v>
      </c>
      <c r="D98" s="39"/>
      <c r="E98" s="39"/>
      <c r="F98" s="139"/>
      <c r="G98" s="40"/>
      <c r="H98" s="27"/>
      <c r="I98" s="25">
        <f t="shared" si="3"/>
        <v>0</v>
      </c>
      <c r="J98" s="59"/>
      <c r="AK98" s="44">
        <f t="shared" si="4"/>
        <v>0</v>
      </c>
    </row>
    <row r="99" spans="2:84">
      <c r="B99" s="107">
        <f t="shared" si="5"/>
        <v>91</v>
      </c>
      <c r="C99" s="87" t="s">
        <v>528</v>
      </c>
      <c r="D99" s="39"/>
      <c r="E99" s="39"/>
      <c r="F99" s="139"/>
      <c r="G99" s="40"/>
      <c r="H99" s="27"/>
      <c r="I99" s="25">
        <f t="shared" si="3"/>
        <v>0</v>
      </c>
      <c r="J99" s="59"/>
      <c r="AK99" s="44">
        <f t="shared" si="4"/>
        <v>0</v>
      </c>
    </row>
    <row r="100" spans="2:84">
      <c r="B100" s="107">
        <f t="shared" si="5"/>
        <v>92</v>
      </c>
      <c r="C100" s="97" t="s">
        <v>529</v>
      </c>
      <c r="D100" s="39"/>
      <c r="E100" s="39">
        <f>TRUNC(3.25/1+1.9)</f>
        <v>5</v>
      </c>
      <c r="F100" s="139">
        <v>5</v>
      </c>
      <c r="G100" s="40" t="s">
        <v>65</v>
      </c>
      <c r="H100" s="27">
        <f>2+3.5</f>
        <v>5.5</v>
      </c>
      <c r="I100" s="25">
        <f t="shared" si="3"/>
        <v>28.682499999999997</v>
      </c>
      <c r="J100" s="59"/>
      <c r="AK100" s="44">
        <f t="shared" si="4"/>
        <v>1.0429999999999999</v>
      </c>
    </row>
    <row r="101" spans="2:84">
      <c r="B101" s="107">
        <f t="shared" si="5"/>
        <v>93</v>
      </c>
      <c r="C101" s="97" t="s">
        <v>101</v>
      </c>
      <c r="D101" s="39"/>
      <c r="E101" s="39">
        <f>TRUNC(3.25/1+1.9)</f>
        <v>5</v>
      </c>
      <c r="F101" s="139">
        <v>5</v>
      </c>
      <c r="G101" s="40" t="s">
        <v>57</v>
      </c>
      <c r="H101" s="27">
        <f>21.17+2</f>
        <v>23.17</v>
      </c>
      <c r="I101" s="25">
        <f t="shared" si="3"/>
        <v>120.83154999999999</v>
      </c>
      <c r="J101" s="59"/>
      <c r="O101" s="34"/>
      <c r="AK101" s="44">
        <f t="shared" si="4"/>
        <v>1.0429999999999999</v>
      </c>
    </row>
    <row r="102" spans="2:84">
      <c r="B102" s="107">
        <f t="shared" si="5"/>
        <v>94</v>
      </c>
      <c r="C102" s="97" t="s">
        <v>97</v>
      </c>
      <c r="D102" s="39"/>
      <c r="E102" s="39">
        <f>TRUNC((19.67-0.17*2)/1+1.9)</f>
        <v>21</v>
      </c>
      <c r="F102" s="139">
        <v>5</v>
      </c>
      <c r="G102" s="40" t="s">
        <v>57</v>
      </c>
      <c r="H102" s="27">
        <f>4.67-0.17*2</f>
        <v>4.33</v>
      </c>
      <c r="I102" s="25">
        <f t="shared" si="3"/>
        <v>94.83999</v>
      </c>
      <c r="J102" s="109"/>
      <c r="K102" s="16"/>
      <c r="L102" s="16"/>
      <c r="M102" s="34"/>
      <c r="AK102" s="44">
        <f t="shared" si="4"/>
        <v>1.0429999999999999</v>
      </c>
    </row>
    <row r="103" spans="2:84">
      <c r="B103" s="107">
        <f t="shared" si="5"/>
        <v>95</v>
      </c>
      <c r="C103" s="97" t="s">
        <v>213</v>
      </c>
      <c r="D103" s="39">
        <v>21</v>
      </c>
      <c r="E103" s="39">
        <v>1</v>
      </c>
      <c r="F103" s="139">
        <v>3</v>
      </c>
      <c r="G103" s="40" t="s">
        <v>57</v>
      </c>
      <c r="H103" s="27">
        <f>4.67-0.17*2</f>
        <v>4.33</v>
      </c>
      <c r="I103" s="25">
        <f t="shared" si="3"/>
        <v>34.189680000000003</v>
      </c>
      <c r="J103" s="59"/>
      <c r="K103" s="16"/>
      <c r="L103" s="16"/>
      <c r="O103" s="34"/>
      <c r="AK103" s="44">
        <f t="shared" si="4"/>
        <v>0.376</v>
      </c>
    </row>
    <row r="104" spans="2:84">
      <c r="B104" s="107">
        <f t="shared" si="5"/>
        <v>96</v>
      </c>
      <c r="C104" s="97"/>
      <c r="D104" s="39"/>
      <c r="E104" s="39"/>
      <c r="F104" s="139"/>
      <c r="G104" s="40"/>
      <c r="H104" s="27"/>
      <c r="I104" s="25">
        <f t="shared" si="3"/>
        <v>0</v>
      </c>
      <c r="J104" s="59"/>
      <c r="K104" s="16"/>
      <c r="L104" s="16"/>
      <c r="M104" s="34"/>
      <c r="AK104" s="44">
        <f t="shared" si="4"/>
        <v>0</v>
      </c>
    </row>
    <row r="105" spans="2:84">
      <c r="B105" s="107">
        <f t="shared" si="5"/>
        <v>97</v>
      </c>
      <c r="C105" s="31"/>
      <c r="D105" s="25"/>
      <c r="E105" s="25"/>
      <c r="F105" s="81"/>
      <c r="G105" s="52"/>
      <c r="H105" s="25"/>
      <c r="I105" s="25">
        <f t="shared" si="3"/>
        <v>0</v>
      </c>
      <c r="J105" s="59"/>
      <c r="O105" s="34"/>
      <c r="AK105" s="44">
        <f t="shared" si="4"/>
        <v>0</v>
      </c>
    </row>
    <row r="106" spans="2:84">
      <c r="B106" s="107">
        <f t="shared" si="5"/>
        <v>98</v>
      </c>
      <c r="C106" s="38"/>
      <c r="D106" s="25"/>
      <c r="E106" s="25"/>
      <c r="F106" s="67"/>
      <c r="G106" s="73"/>
      <c r="H106" s="84"/>
      <c r="I106" s="25">
        <f t="shared" si="3"/>
        <v>0</v>
      </c>
      <c r="J106" s="59"/>
      <c r="AK106" s="44">
        <f t="shared" si="4"/>
        <v>0</v>
      </c>
    </row>
    <row r="107" spans="2:84">
      <c r="B107" s="107">
        <f t="shared" si="5"/>
        <v>99</v>
      </c>
      <c r="C107" s="97"/>
      <c r="D107" s="25"/>
      <c r="E107" s="81"/>
      <c r="F107" s="67"/>
      <c r="G107" s="52"/>
      <c r="H107" s="68"/>
      <c r="I107" s="25">
        <f t="shared" si="3"/>
        <v>0</v>
      </c>
      <c r="J107" s="59"/>
      <c r="AK107" s="44">
        <f t="shared" si="4"/>
        <v>0</v>
      </c>
    </row>
    <row r="108" spans="2:84">
      <c r="B108" s="107">
        <f t="shared" si="5"/>
        <v>100</v>
      </c>
      <c r="C108" s="97"/>
      <c r="D108" s="25"/>
      <c r="E108" s="81"/>
      <c r="F108" s="67"/>
      <c r="G108" s="52"/>
      <c r="H108" s="68"/>
      <c r="I108" s="25">
        <f t="shared" si="3"/>
        <v>0</v>
      </c>
      <c r="J108" s="59"/>
      <c r="AK108" s="44">
        <f t="shared" si="4"/>
        <v>0</v>
      </c>
    </row>
    <row r="109" spans="2:84">
      <c r="B109" s="111"/>
      <c r="C109" s="111"/>
      <c r="D109" s="111"/>
      <c r="E109" s="111"/>
      <c r="F109" s="111"/>
      <c r="G109" s="112"/>
      <c r="H109" s="113" t="s">
        <v>90</v>
      </c>
      <c r="I109" s="118">
        <f>SUM(I9:I99)</f>
        <v>1847.9160799999995</v>
      </c>
      <c r="AK109" s="44">
        <f t="shared" si="4"/>
        <v>0</v>
      </c>
      <c r="CC109" s="111"/>
      <c r="CD109" s="111"/>
      <c r="CE109" s="111"/>
      <c r="CF109" s="111"/>
    </row>
    <row r="110" spans="2:84">
      <c r="AK110" s="44">
        <f t="shared" si="4"/>
        <v>0</v>
      </c>
      <c r="CC110" s="111"/>
      <c r="CD110" s="111"/>
      <c r="CE110" s="111"/>
      <c r="CF110" s="111"/>
    </row>
    <row r="111" spans="2:84">
      <c r="AK111" s="44">
        <f t="shared" si="4"/>
        <v>0</v>
      </c>
      <c r="CC111" s="111"/>
      <c r="CD111" s="111"/>
      <c r="CE111" s="111"/>
      <c r="CF111" s="111"/>
    </row>
    <row r="112" spans="2:84">
      <c r="I112" s="114"/>
      <c r="AK112" s="44">
        <f t="shared" si="4"/>
        <v>0</v>
      </c>
      <c r="CC112" s="111"/>
      <c r="CD112" s="111"/>
      <c r="CE112" s="111"/>
      <c r="CF112" s="111"/>
    </row>
    <row r="113" spans="3:84">
      <c r="I113" s="115">
        <f>I109/2000</f>
        <v>0.9239580399999997</v>
      </c>
      <c r="AK113" s="44">
        <f t="shared" si="4"/>
        <v>0</v>
      </c>
      <c r="CC113" s="111"/>
      <c r="CD113" s="111"/>
      <c r="CE113" s="111"/>
      <c r="CF113" s="111"/>
    </row>
    <row r="114" spans="3:84">
      <c r="K114" s="50"/>
      <c r="AK114" s="44">
        <f t="shared" si="4"/>
        <v>0</v>
      </c>
      <c r="CC114" s="111"/>
      <c r="CD114" s="111"/>
      <c r="CE114" s="111"/>
      <c r="CF114" s="111"/>
    </row>
    <row r="115" spans="3:84">
      <c r="AK115" s="44">
        <f t="shared" si="4"/>
        <v>0</v>
      </c>
      <c r="CC115" s="111"/>
      <c r="CD115" s="111"/>
      <c r="CE115" s="111"/>
      <c r="CF115" s="111"/>
    </row>
    <row r="116" spans="3:84">
      <c r="AK116" s="44">
        <f t="shared" si="4"/>
        <v>0</v>
      </c>
      <c r="CC116" s="111"/>
      <c r="CD116" s="111"/>
      <c r="CE116" s="111"/>
      <c r="CF116" s="111"/>
    </row>
    <row r="117" spans="3:84">
      <c r="C117" s="111"/>
      <c r="D117" s="111"/>
      <c r="E117" s="111"/>
      <c r="F117" s="111"/>
      <c r="G117" s="111"/>
      <c r="H117" s="111"/>
      <c r="AK117" s="44">
        <f t="shared" si="4"/>
        <v>0</v>
      </c>
      <c r="CC117" s="111"/>
      <c r="CD117" s="111"/>
      <c r="CE117" s="111"/>
      <c r="CF117" s="111"/>
    </row>
    <row r="118" spans="3:84">
      <c r="C118" s="111"/>
      <c r="D118" s="111"/>
      <c r="E118" s="111"/>
      <c r="F118" s="111"/>
      <c r="G118" s="111"/>
      <c r="H118" s="111"/>
      <c r="AK118" s="44">
        <f t="shared" si="4"/>
        <v>0</v>
      </c>
      <c r="CC118" s="111"/>
      <c r="CD118" s="111"/>
      <c r="CE118" s="111"/>
      <c r="CF118" s="111"/>
    </row>
    <row r="119" spans="3:84">
      <c r="C119" s="111"/>
      <c r="D119" s="111"/>
      <c r="E119" s="111"/>
      <c r="F119" s="111"/>
      <c r="G119" s="111"/>
      <c r="H119" s="111"/>
      <c r="AK119" s="44">
        <f t="shared" si="4"/>
        <v>0</v>
      </c>
      <c r="CC119" s="111"/>
      <c r="CD119" s="111"/>
      <c r="CE119" s="111"/>
      <c r="CF119" s="111"/>
    </row>
    <row r="120" spans="3:84">
      <c r="C120" s="111"/>
      <c r="D120" s="111"/>
      <c r="E120" s="111"/>
      <c r="F120" s="111"/>
      <c r="G120" s="111"/>
      <c r="H120" s="111"/>
      <c r="AK120" s="44">
        <f t="shared" ref="AK120:AK183" si="6">IF(F120="",0,VLOOKUP(F120,$CI$16:$CJ$34,2,FALSE))</f>
        <v>0</v>
      </c>
      <c r="CC120" s="111"/>
      <c r="CD120" s="111"/>
      <c r="CE120" s="111"/>
      <c r="CF120" s="111"/>
    </row>
    <row r="121" spans="3:84">
      <c r="C121" s="111"/>
      <c r="D121" s="111"/>
      <c r="E121" s="111"/>
      <c r="F121" s="111"/>
      <c r="G121" s="111"/>
      <c r="H121" s="111"/>
      <c r="AK121" s="44">
        <f t="shared" si="6"/>
        <v>0</v>
      </c>
      <c r="CC121" s="111"/>
      <c r="CD121" s="111"/>
      <c r="CE121" s="111"/>
      <c r="CF121" s="111"/>
    </row>
    <row r="122" spans="3:84">
      <c r="C122" s="111"/>
      <c r="D122" s="111"/>
      <c r="E122" s="116"/>
      <c r="F122" s="116"/>
      <c r="G122" s="116"/>
      <c r="H122" s="111"/>
      <c r="AK122" s="44">
        <f t="shared" si="6"/>
        <v>0</v>
      </c>
      <c r="CC122" s="111"/>
      <c r="CD122" s="111"/>
      <c r="CE122" s="111"/>
      <c r="CF122" s="111"/>
    </row>
    <row r="123" spans="3:84">
      <c r="C123" s="111"/>
      <c r="D123" s="111"/>
      <c r="E123" s="116"/>
      <c r="F123" s="116"/>
      <c r="G123" s="116"/>
      <c r="H123" s="111"/>
      <c r="AK123" s="44">
        <f t="shared" si="6"/>
        <v>0</v>
      </c>
      <c r="CC123" s="111"/>
      <c r="CD123" s="111"/>
      <c r="CE123" s="111"/>
      <c r="CF123" s="111"/>
    </row>
    <row r="124" spans="3:84">
      <c r="C124" s="111"/>
      <c r="D124" s="111"/>
      <c r="E124" s="116"/>
      <c r="F124" s="116"/>
      <c r="G124" s="116"/>
      <c r="H124" s="111"/>
      <c r="AK124" s="44">
        <f t="shared" si="6"/>
        <v>0</v>
      </c>
      <c r="CC124" s="111"/>
      <c r="CD124" s="111"/>
      <c r="CE124" s="111"/>
      <c r="CF124" s="111"/>
    </row>
    <row r="125" spans="3:84">
      <c r="C125" s="111"/>
      <c r="D125" s="111"/>
      <c r="E125" s="116"/>
      <c r="F125" s="116"/>
      <c r="G125" s="116"/>
      <c r="H125" s="111"/>
      <c r="AK125" s="44">
        <f t="shared" si="6"/>
        <v>0</v>
      </c>
      <c r="CC125" s="111"/>
      <c r="CD125" s="111"/>
      <c r="CE125" s="111"/>
      <c r="CF125" s="111"/>
    </row>
    <row r="126" spans="3:84">
      <c r="C126" s="111"/>
      <c r="D126" s="111"/>
      <c r="E126" s="111"/>
      <c r="F126" s="111"/>
      <c r="G126" s="111"/>
      <c r="H126" s="111"/>
      <c r="AK126" s="44">
        <f t="shared" si="6"/>
        <v>0</v>
      </c>
    </row>
    <row r="127" spans="3:84">
      <c r="AK127" s="44">
        <f t="shared" si="6"/>
        <v>0</v>
      </c>
    </row>
    <row r="128" spans="3:84">
      <c r="AK128" s="44">
        <f t="shared" si="6"/>
        <v>0</v>
      </c>
    </row>
    <row r="129" spans="37:37">
      <c r="AK129" s="44">
        <f t="shared" si="6"/>
        <v>0</v>
      </c>
    </row>
    <row r="130" spans="37:37">
      <c r="AK130" s="44">
        <f t="shared" si="6"/>
        <v>0</v>
      </c>
    </row>
    <row r="131" spans="37:37">
      <c r="AK131" s="44">
        <f t="shared" si="6"/>
        <v>0</v>
      </c>
    </row>
    <row r="132" spans="37:37">
      <c r="AK132" s="44">
        <f t="shared" si="6"/>
        <v>0</v>
      </c>
    </row>
    <row r="133" spans="37:37">
      <c r="AK133" s="44">
        <f t="shared" si="6"/>
        <v>0</v>
      </c>
    </row>
    <row r="134" spans="37:37">
      <c r="AK134" s="44">
        <f t="shared" si="6"/>
        <v>0</v>
      </c>
    </row>
    <row r="135" spans="37:37">
      <c r="AK135" s="44">
        <f t="shared" si="6"/>
        <v>0</v>
      </c>
    </row>
    <row r="136" spans="37:37">
      <c r="AK136" s="44">
        <f t="shared" si="6"/>
        <v>0</v>
      </c>
    </row>
    <row r="137" spans="37:37">
      <c r="AK137" s="44">
        <f t="shared" si="6"/>
        <v>0</v>
      </c>
    </row>
    <row r="138" spans="37:37">
      <c r="AK138" s="44">
        <f t="shared" si="6"/>
        <v>0</v>
      </c>
    </row>
    <row r="139" spans="37:37">
      <c r="AK139" s="44">
        <f t="shared" si="6"/>
        <v>0</v>
      </c>
    </row>
    <row r="140" spans="37:37">
      <c r="AK140" s="44">
        <f t="shared" si="6"/>
        <v>0</v>
      </c>
    </row>
    <row r="141" spans="37:37">
      <c r="AK141" s="44">
        <f t="shared" si="6"/>
        <v>0</v>
      </c>
    </row>
    <row r="142" spans="37:37">
      <c r="AK142" s="44">
        <f t="shared" si="6"/>
        <v>0</v>
      </c>
    </row>
    <row r="143" spans="37:37">
      <c r="AK143" s="44">
        <f t="shared" si="6"/>
        <v>0</v>
      </c>
    </row>
    <row r="144" spans="37:37">
      <c r="AK144" s="44">
        <f t="shared" si="6"/>
        <v>0</v>
      </c>
    </row>
    <row r="145" spans="37:37">
      <c r="AK145" s="44">
        <f t="shared" si="6"/>
        <v>0</v>
      </c>
    </row>
    <row r="146" spans="37:37">
      <c r="AK146" s="44">
        <f t="shared" si="6"/>
        <v>0</v>
      </c>
    </row>
    <row r="147" spans="37:37">
      <c r="AK147" s="44">
        <f t="shared" si="6"/>
        <v>0</v>
      </c>
    </row>
    <row r="148" spans="37:37">
      <c r="AK148" s="44">
        <f t="shared" si="6"/>
        <v>0</v>
      </c>
    </row>
    <row r="149" spans="37:37">
      <c r="AK149" s="44">
        <f t="shared" si="6"/>
        <v>0</v>
      </c>
    </row>
    <row r="150" spans="37:37">
      <c r="AK150" s="44">
        <f t="shared" si="6"/>
        <v>0</v>
      </c>
    </row>
    <row r="151" spans="37:37">
      <c r="AK151" s="44">
        <f t="shared" si="6"/>
        <v>0</v>
      </c>
    </row>
    <row r="152" spans="37:37">
      <c r="AK152" s="44">
        <f t="shared" si="6"/>
        <v>0</v>
      </c>
    </row>
    <row r="153" spans="37:37">
      <c r="AK153" s="44">
        <f t="shared" si="6"/>
        <v>0</v>
      </c>
    </row>
    <row r="154" spans="37:37">
      <c r="AK154" s="44">
        <f t="shared" si="6"/>
        <v>0</v>
      </c>
    </row>
    <row r="155" spans="37:37">
      <c r="AK155" s="44">
        <f t="shared" si="6"/>
        <v>0</v>
      </c>
    </row>
    <row r="156" spans="37:37">
      <c r="AK156" s="44">
        <f t="shared" si="6"/>
        <v>0</v>
      </c>
    </row>
    <row r="157" spans="37:37">
      <c r="AK157" s="44">
        <f t="shared" si="6"/>
        <v>0</v>
      </c>
    </row>
    <row r="158" spans="37:37">
      <c r="AK158" s="44">
        <f t="shared" si="6"/>
        <v>0</v>
      </c>
    </row>
    <row r="159" spans="37:37">
      <c r="AK159" s="44">
        <f t="shared" si="6"/>
        <v>0</v>
      </c>
    </row>
    <row r="160" spans="37:37">
      <c r="AK160" s="44">
        <f t="shared" si="6"/>
        <v>0</v>
      </c>
    </row>
    <row r="161" spans="37:37">
      <c r="AK161" s="44">
        <f t="shared" si="6"/>
        <v>0</v>
      </c>
    </row>
    <row r="162" spans="37:37">
      <c r="AK162" s="44">
        <f t="shared" si="6"/>
        <v>0</v>
      </c>
    </row>
    <row r="163" spans="37:37">
      <c r="AK163" s="44">
        <f t="shared" si="6"/>
        <v>0</v>
      </c>
    </row>
    <row r="164" spans="37:37">
      <c r="AK164" s="44">
        <f t="shared" si="6"/>
        <v>0</v>
      </c>
    </row>
    <row r="165" spans="37:37">
      <c r="AK165" s="44">
        <f t="shared" si="6"/>
        <v>0</v>
      </c>
    </row>
    <row r="166" spans="37:37">
      <c r="AK166" s="44">
        <f t="shared" si="6"/>
        <v>0</v>
      </c>
    </row>
    <row r="167" spans="37:37">
      <c r="AK167" s="44">
        <f t="shared" si="6"/>
        <v>0</v>
      </c>
    </row>
    <row r="168" spans="37:37">
      <c r="AK168" s="44">
        <f t="shared" si="6"/>
        <v>0</v>
      </c>
    </row>
    <row r="169" spans="37:37">
      <c r="AK169" s="44">
        <f t="shared" si="6"/>
        <v>0</v>
      </c>
    </row>
    <row r="170" spans="37:37">
      <c r="AK170" s="44">
        <f t="shared" si="6"/>
        <v>0</v>
      </c>
    </row>
    <row r="171" spans="37:37">
      <c r="AK171" s="44">
        <f t="shared" si="6"/>
        <v>0</v>
      </c>
    </row>
    <row r="172" spans="37:37">
      <c r="AK172" s="44">
        <f t="shared" si="6"/>
        <v>0</v>
      </c>
    </row>
    <row r="173" spans="37:37">
      <c r="AK173" s="44">
        <f t="shared" si="6"/>
        <v>0</v>
      </c>
    </row>
    <row r="174" spans="37:37">
      <c r="AK174" s="44">
        <f t="shared" si="6"/>
        <v>0</v>
      </c>
    </row>
    <row r="175" spans="37:37">
      <c r="AK175" s="44">
        <f t="shared" si="6"/>
        <v>0</v>
      </c>
    </row>
    <row r="176" spans="37:37">
      <c r="AK176" s="44">
        <f t="shared" si="6"/>
        <v>0</v>
      </c>
    </row>
    <row r="177" spans="37:37">
      <c r="AK177" s="44">
        <f t="shared" si="6"/>
        <v>0</v>
      </c>
    </row>
    <row r="178" spans="37:37">
      <c r="AK178" s="44">
        <f t="shared" si="6"/>
        <v>0</v>
      </c>
    </row>
    <row r="179" spans="37:37">
      <c r="AK179" s="44">
        <f t="shared" si="6"/>
        <v>0</v>
      </c>
    </row>
    <row r="180" spans="37:37">
      <c r="AK180" s="44">
        <f t="shared" si="6"/>
        <v>0</v>
      </c>
    </row>
    <row r="181" spans="37:37">
      <c r="AK181" s="44">
        <f t="shared" si="6"/>
        <v>0</v>
      </c>
    </row>
    <row r="182" spans="37:37">
      <c r="AK182" s="44">
        <f t="shared" si="6"/>
        <v>0</v>
      </c>
    </row>
    <row r="183" spans="37:37">
      <c r="AK183" s="44">
        <f t="shared" si="6"/>
        <v>0</v>
      </c>
    </row>
    <row r="184" spans="37:37">
      <c r="AK184" s="44">
        <f t="shared" ref="AK184:AK198" si="7">IF(F184="",0,VLOOKUP(F184,$CI$16:$CJ$34,2,FALSE))</f>
        <v>0</v>
      </c>
    </row>
    <row r="185" spans="37:37">
      <c r="AK185" s="44">
        <f t="shared" si="7"/>
        <v>0</v>
      </c>
    </row>
    <row r="186" spans="37:37">
      <c r="AK186" s="44">
        <f t="shared" si="7"/>
        <v>0</v>
      </c>
    </row>
    <row r="187" spans="37:37">
      <c r="AK187" s="44">
        <f t="shared" si="7"/>
        <v>0</v>
      </c>
    </row>
    <row r="188" spans="37:37">
      <c r="AK188" s="44">
        <f t="shared" si="7"/>
        <v>0</v>
      </c>
    </row>
    <row r="189" spans="37:37">
      <c r="AK189" s="44">
        <f t="shared" si="7"/>
        <v>0</v>
      </c>
    </row>
    <row r="190" spans="37:37">
      <c r="AK190" s="44">
        <f t="shared" si="7"/>
        <v>0</v>
      </c>
    </row>
    <row r="191" spans="37:37">
      <c r="AK191" s="44">
        <f t="shared" si="7"/>
        <v>0</v>
      </c>
    </row>
    <row r="192" spans="37:37">
      <c r="AK192" s="44">
        <f t="shared" si="7"/>
        <v>0</v>
      </c>
    </row>
    <row r="193" spans="37:37">
      <c r="AK193" s="44">
        <f t="shared" si="7"/>
        <v>0</v>
      </c>
    </row>
    <row r="194" spans="37:37">
      <c r="AK194" s="44">
        <f t="shared" si="7"/>
        <v>0</v>
      </c>
    </row>
    <row r="195" spans="37:37">
      <c r="AK195" s="44">
        <f t="shared" si="7"/>
        <v>0</v>
      </c>
    </row>
    <row r="196" spans="37:37">
      <c r="AK196" s="44">
        <f t="shared" si="7"/>
        <v>0</v>
      </c>
    </row>
    <row r="197" spans="37:37">
      <c r="AK197" s="44">
        <f t="shared" si="7"/>
        <v>0</v>
      </c>
    </row>
    <row r="198" spans="37:37">
      <c r="AK198" s="44">
        <f t="shared" si="7"/>
        <v>0</v>
      </c>
    </row>
  </sheetData>
  <mergeCells count="7">
    <mergeCell ref="M36:R36"/>
    <mergeCell ref="M37:R37"/>
    <mergeCell ref="C1:H2"/>
    <mergeCell ref="D4:I4"/>
    <mergeCell ref="D5:I5"/>
    <mergeCell ref="D6:I6"/>
    <mergeCell ref="M35:R35"/>
  </mergeCells>
  <dataValidations count="7">
    <dataValidation type="list" allowBlank="1" showInputMessage="1" showErrorMessage="1" sqref="G105 G9:G91">
      <formula1>$CL$12:$CL$34</formula1>
    </dataValidation>
    <dataValidation type="list" allowBlank="1" showInputMessage="1" showErrorMessage="1" sqref="F105 F9:F91">
      <formula1>$CI$10:$CI$34</formula1>
    </dataValidation>
    <dataValidation type="list" allowBlank="1" showInputMessage="1" showErrorMessage="1" sqref="J9:J108">
      <formula1>"A-615 GR-60,A-615 GR-40,A706 GR-60"</formula1>
    </dataValidation>
    <dataValidation type="list" allowBlank="1" showInputMessage="1" showErrorMessage="1" sqref="G106:G108">
      <formula1>$CL$15:$CL$34</formula1>
    </dataValidation>
    <dataValidation type="list" allowBlank="1" showInputMessage="1" showErrorMessage="1" sqref="F106:F108">
      <formula1>$CI$16:$CI$34</formula1>
    </dataValidation>
    <dataValidation type="list" allowBlank="1" showInputMessage="1" showErrorMessage="1" sqref="G92:G104">
      <formula1>$CL$15:$CL$24</formula1>
    </dataValidation>
    <dataValidation type="list" allowBlank="1" showInputMessage="1" showErrorMessage="1" sqref="F92:F104">
      <formula1>$CI$16:$CI$38</formula1>
    </dataValidation>
  </dataValidations>
  <printOptions horizontalCentered="1" verticalCentered="1"/>
  <pageMargins left="0.5" right="0.6" top="0" bottom="0.5" header="0.5" footer="0.5"/>
  <pageSetup paperSize="9" scale="90" orientation="portrait" r:id="rId1"/>
  <headerFooter alignWithMargins="0">
    <oddFooter>&amp;LSimsona Corp.-Estimation&amp;RPage &amp;P of &amp;N</oddFooter>
  </headerFooter>
  <rowBreaks count="1" manualBreakCount="1">
    <brk id="58" min="1" max="8" man="1"/>
  </rowBreaks>
  <ignoredErrors>
    <ignoredError sqref="H16:H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H202"/>
  <sheetViews>
    <sheetView view="pageBreakPreview" topLeftCell="A159" zoomScale="85" zoomScaleNormal="115" zoomScaleSheetLayoutView="85" workbookViewId="0">
      <selection activeCell="J200" sqref="J200"/>
    </sheetView>
  </sheetViews>
  <sheetFormatPr defaultRowHeight="12.75"/>
  <cols>
    <col min="1" max="1" width="20.7109375" customWidth="1"/>
    <col min="2" max="2" width="13.5703125" bestFit="1" customWidth="1"/>
    <col min="3" max="4" width="12.5703125" bestFit="1" customWidth="1"/>
    <col min="5" max="5" width="11.7109375" bestFit="1" customWidth="1"/>
    <col min="6" max="6" width="9.42578125" bestFit="1" customWidth="1"/>
  </cols>
  <sheetData>
    <row r="2" spans="1:8" ht="20.25">
      <c r="A2" s="206" t="s">
        <v>583</v>
      </c>
      <c r="B2" s="206"/>
      <c r="C2" s="206"/>
      <c r="D2" s="206"/>
      <c r="E2" s="206"/>
      <c r="F2" s="206"/>
      <c r="G2" s="206"/>
    </row>
    <row r="3" spans="1:8" ht="15">
      <c r="A3" s="207" t="s">
        <v>584</v>
      </c>
      <c r="B3" s="207"/>
      <c r="C3" s="207"/>
      <c r="D3" s="207"/>
      <c r="E3" s="207"/>
      <c r="F3" s="207"/>
      <c r="G3" s="207"/>
    </row>
    <row r="4" spans="1:8" ht="15">
      <c r="A4" s="207" t="s">
        <v>585</v>
      </c>
      <c r="B4" s="207"/>
      <c r="C4" s="207"/>
      <c r="D4" s="207"/>
      <c r="E4" s="207"/>
      <c r="F4" s="207"/>
      <c r="G4" s="207"/>
    </row>
    <row r="6" spans="1:8">
      <c r="E6" s="18" t="s">
        <v>586</v>
      </c>
      <c r="F6" s="179">
        <v>42236</v>
      </c>
    </row>
    <row r="8" spans="1:8">
      <c r="A8" s="208" t="s">
        <v>551</v>
      </c>
      <c r="B8" s="208"/>
      <c r="C8" s="208"/>
      <c r="D8" s="208"/>
      <c r="E8" s="208"/>
      <c r="F8" s="208"/>
      <c r="G8" s="208"/>
      <c r="H8" s="208"/>
    </row>
    <row r="9" spans="1:8">
      <c r="A9" s="169" t="s">
        <v>552</v>
      </c>
      <c r="B9" s="209" t="s">
        <v>553</v>
      </c>
      <c r="C9" s="209"/>
      <c r="D9" s="209"/>
      <c r="E9" s="209"/>
    </row>
    <row r="10" spans="1:8">
      <c r="A10" s="170">
        <f>'P2-PAD FOOTINGS'!I62</f>
        <v>12217.400639999998</v>
      </c>
      <c r="B10" s="202" t="s">
        <v>554</v>
      </c>
      <c r="C10" s="202"/>
      <c r="D10" s="202"/>
      <c r="E10" s="202"/>
    </row>
    <row r="11" spans="1:8">
      <c r="A11" s="170">
        <f>'P2-WALL FOOTINGS'!I112</f>
        <v>37865.146376000012</v>
      </c>
      <c r="B11" s="202" t="s">
        <v>555</v>
      </c>
      <c r="C11" s="202"/>
      <c r="D11" s="202"/>
      <c r="E11" s="202"/>
    </row>
    <row r="12" spans="1:8">
      <c r="A12" s="170">
        <f>'P2-SLAB ON GRADE'!I59</f>
        <v>24422.529026000007</v>
      </c>
      <c r="B12" s="202" t="s">
        <v>556</v>
      </c>
      <c r="C12" s="202"/>
      <c r="D12" s="202"/>
      <c r="E12" s="202"/>
    </row>
    <row r="13" spans="1:8">
      <c r="A13" s="170">
        <f>COLUMNS!I409</f>
        <v>41307.340559999975</v>
      </c>
      <c r="B13" s="202" t="s">
        <v>557</v>
      </c>
      <c r="C13" s="202"/>
      <c r="D13" s="202"/>
      <c r="E13" s="202"/>
    </row>
    <row r="14" spans="1:8">
      <c r="A14" s="170">
        <f>'CONCRETE WALLS'!I59</f>
        <v>151422.59516500004</v>
      </c>
      <c r="B14" s="202" t="s">
        <v>558</v>
      </c>
      <c r="C14" s="202"/>
      <c r="D14" s="202"/>
      <c r="E14" s="202"/>
    </row>
    <row r="15" spans="1:8">
      <c r="A15" s="170">
        <f>'P1 LEVEL BEAMS'!I59</f>
        <v>1898.1483799999999</v>
      </c>
      <c r="B15" s="202" t="s">
        <v>559</v>
      </c>
      <c r="C15" s="202"/>
      <c r="D15" s="202"/>
      <c r="E15" s="202"/>
    </row>
    <row r="16" spans="1:8">
      <c r="A16" s="170">
        <f>'P1 LEVEL SLAB'!I359</f>
        <v>121001.15973400003</v>
      </c>
      <c r="B16" s="202" t="s">
        <v>560</v>
      </c>
      <c r="C16" s="202"/>
      <c r="D16" s="202"/>
      <c r="E16" s="202"/>
    </row>
    <row r="17" spans="1:6">
      <c r="A17" s="170">
        <f>'1ST FLOOR BEAMS'!I59</f>
        <v>1124.9842200000001</v>
      </c>
      <c r="B17" s="202" t="s">
        <v>561</v>
      </c>
      <c r="C17" s="202"/>
      <c r="D17" s="202"/>
      <c r="E17" s="202"/>
    </row>
    <row r="18" spans="1:6">
      <c r="A18" s="170">
        <f>'1ST FLOOR SLAB'!I409</f>
        <v>117858.21235930009</v>
      </c>
      <c r="B18" s="202" t="s">
        <v>562</v>
      </c>
      <c r="C18" s="202"/>
      <c r="D18" s="202"/>
      <c r="E18" s="202"/>
    </row>
    <row r="19" spans="1:6">
      <c r="A19" s="170">
        <f>'2ND FLOOR BEAMS'!I59</f>
        <v>16876.810744999999</v>
      </c>
      <c r="B19" s="202" t="s">
        <v>563</v>
      </c>
      <c r="C19" s="202"/>
      <c r="D19" s="202"/>
      <c r="E19" s="202"/>
    </row>
    <row r="20" spans="1:6">
      <c r="A20" s="170">
        <f>'2ND FLOOR SLAB'!I409</f>
        <v>182964.54775715008</v>
      </c>
      <c r="B20" s="202" t="s">
        <v>564</v>
      </c>
      <c r="C20" s="202"/>
      <c r="D20" s="202"/>
      <c r="E20" s="202"/>
    </row>
    <row r="21" spans="1:6">
      <c r="A21" s="170">
        <f>STAIRS!I109</f>
        <v>1847.9160799999995</v>
      </c>
      <c r="B21" s="202" t="s">
        <v>565</v>
      </c>
      <c r="C21" s="202"/>
      <c r="D21" s="202"/>
      <c r="E21" s="202"/>
    </row>
    <row r="22" spans="1:6">
      <c r="A22" s="171">
        <f>SUM(A10:A21)</f>
        <v>710806.79104245023</v>
      </c>
      <c r="B22" s="210" t="s">
        <v>566</v>
      </c>
      <c r="C22" s="211"/>
      <c r="D22" s="211"/>
      <c r="E22" s="211"/>
    </row>
    <row r="23" spans="1:6" ht="15.75">
      <c r="A23" s="213" t="s">
        <v>567</v>
      </c>
      <c r="B23" s="213"/>
      <c r="C23" s="213"/>
      <c r="D23" s="172">
        <f>SUM(A10:A21)/2000</f>
        <v>355.40339552122509</v>
      </c>
      <c r="E23" s="18" t="s">
        <v>568</v>
      </c>
      <c r="F23" s="18"/>
    </row>
    <row r="25" spans="1:6">
      <c r="A25" s="212" t="s">
        <v>536</v>
      </c>
      <c r="B25" s="212"/>
      <c r="C25" s="212"/>
    </row>
    <row r="26" spans="1:6">
      <c r="A26" s="169" t="s">
        <v>537</v>
      </c>
      <c r="B26" s="173"/>
      <c r="C26" s="173"/>
      <c r="D26" s="173"/>
    </row>
    <row r="27" spans="1:6">
      <c r="A27" s="174" t="s">
        <v>539</v>
      </c>
      <c r="B27" s="174" t="s">
        <v>48</v>
      </c>
      <c r="C27" s="173"/>
      <c r="D27" s="173"/>
    </row>
    <row r="28" spans="1:6">
      <c r="A28" s="175" t="s">
        <v>47</v>
      </c>
      <c r="B28" s="175" t="s">
        <v>65</v>
      </c>
      <c r="C28" s="175" t="s">
        <v>57</v>
      </c>
      <c r="D28" s="176" t="s">
        <v>538</v>
      </c>
    </row>
    <row r="29" spans="1:6">
      <c r="A29" s="173">
        <v>6</v>
      </c>
      <c r="B29" s="170"/>
      <c r="C29" s="170">
        <v>470.66672000000005</v>
      </c>
      <c r="D29" s="170">
        <v>470.66672000000005</v>
      </c>
    </row>
    <row r="30" spans="1:6">
      <c r="A30" s="173">
        <v>7</v>
      </c>
      <c r="B30" s="170"/>
      <c r="C30" s="170">
        <v>444.40647999999999</v>
      </c>
      <c r="D30" s="170">
        <v>444.40647999999999</v>
      </c>
    </row>
    <row r="31" spans="1:6">
      <c r="A31" s="173">
        <v>8</v>
      </c>
      <c r="B31" s="170">
        <v>1551.2699999999998</v>
      </c>
      <c r="C31" s="170">
        <v>4980.1907999999994</v>
      </c>
      <c r="D31" s="170">
        <v>6531.4607999999989</v>
      </c>
    </row>
    <row r="32" spans="1:6">
      <c r="A32" s="173">
        <v>9</v>
      </c>
      <c r="B32" s="170">
        <v>3286.848</v>
      </c>
      <c r="C32" s="170"/>
      <c r="D32" s="170">
        <v>3286.848</v>
      </c>
    </row>
    <row r="33" spans="1:5">
      <c r="A33" s="173">
        <v>10</v>
      </c>
      <c r="B33" s="170">
        <v>1484.01864</v>
      </c>
      <c r="C33" s="170"/>
      <c r="D33" s="170">
        <v>1484.01864</v>
      </c>
    </row>
    <row r="34" spans="1:5">
      <c r="A34" s="177" t="s">
        <v>538</v>
      </c>
      <c r="B34" s="170">
        <v>6322.1366399999997</v>
      </c>
      <c r="C34" s="170">
        <v>5895.2639999999992</v>
      </c>
      <c r="D34" s="170">
        <v>12217.400639999998</v>
      </c>
    </row>
    <row r="35" spans="1:5">
      <c r="C35" s="178" t="s">
        <v>90</v>
      </c>
      <c r="D35" s="172">
        <f>GETPIVOTDATA("Weight(LBS)",$A$27)/2000</f>
        <v>6.1087003199999987</v>
      </c>
    </row>
    <row r="37" spans="1:5">
      <c r="A37" s="169" t="s">
        <v>540</v>
      </c>
      <c r="B37" s="173"/>
      <c r="C37" s="173"/>
      <c r="D37" s="173"/>
      <c r="E37" s="173"/>
    </row>
    <row r="38" spans="1:5">
      <c r="A38" s="174" t="s">
        <v>539</v>
      </c>
      <c r="B38" s="174" t="s">
        <v>48</v>
      </c>
      <c r="C38" s="173"/>
      <c r="D38" s="173"/>
      <c r="E38" s="173"/>
    </row>
    <row r="39" spans="1:5">
      <c r="A39" s="175" t="s">
        <v>47</v>
      </c>
      <c r="B39" s="175" t="s">
        <v>65</v>
      </c>
      <c r="C39" s="175" t="s">
        <v>61</v>
      </c>
      <c r="D39" s="175" t="s">
        <v>57</v>
      </c>
      <c r="E39" s="176" t="s">
        <v>538</v>
      </c>
    </row>
    <row r="40" spans="1:5">
      <c r="A40" s="173">
        <v>4</v>
      </c>
      <c r="B40" s="170">
        <v>1424.1759999999999</v>
      </c>
      <c r="C40" s="170"/>
      <c r="D40" s="170"/>
      <c r="E40" s="170">
        <v>1424.1759999999999</v>
      </c>
    </row>
    <row r="41" spans="1:5">
      <c r="A41" s="173">
        <v>5</v>
      </c>
      <c r="B41" s="170">
        <v>15903.332325999996</v>
      </c>
      <c r="C41" s="170">
        <v>417.2</v>
      </c>
      <c r="D41" s="170">
        <v>3442.0919119999994</v>
      </c>
      <c r="E41" s="170">
        <v>19762.624237999997</v>
      </c>
    </row>
    <row r="42" spans="1:5">
      <c r="A42" s="173">
        <v>6</v>
      </c>
      <c r="B42" s="170">
        <v>4488.7435219999998</v>
      </c>
      <c r="C42" s="170"/>
      <c r="D42" s="170"/>
      <c r="E42" s="170">
        <v>4488.7435219999998</v>
      </c>
    </row>
    <row r="43" spans="1:5">
      <c r="A43" s="173">
        <v>7</v>
      </c>
      <c r="B43" s="170">
        <v>11309.578727999999</v>
      </c>
      <c r="C43" s="170"/>
      <c r="D43" s="170">
        <v>44.256688000000004</v>
      </c>
      <c r="E43" s="170">
        <v>11353.835415999998</v>
      </c>
    </row>
    <row r="44" spans="1:5">
      <c r="A44" s="173">
        <v>8</v>
      </c>
      <c r="B44" s="170"/>
      <c r="C44" s="170"/>
      <c r="D44" s="170">
        <v>578.10839999999996</v>
      </c>
      <c r="E44" s="170">
        <v>578.10839999999996</v>
      </c>
    </row>
    <row r="45" spans="1:5">
      <c r="A45" s="173">
        <v>9</v>
      </c>
      <c r="B45" s="170"/>
      <c r="C45" s="170"/>
      <c r="D45" s="170">
        <v>257.65879999999999</v>
      </c>
      <c r="E45" s="170">
        <v>257.65879999999999</v>
      </c>
    </row>
    <row r="46" spans="1:5">
      <c r="A46" s="177" t="s">
        <v>538</v>
      </c>
      <c r="B46" s="170">
        <v>33125.830575999993</v>
      </c>
      <c r="C46" s="170">
        <v>417.2</v>
      </c>
      <c r="D46" s="170">
        <v>4322.1157999999996</v>
      </c>
      <c r="E46" s="170">
        <v>37865.14637599999</v>
      </c>
    </row>
    <row r="47" spans="1:5">
      <c r="D47" s="178" t="s">
        <v>90</v>
      </c>
      <c r="E47" s="172">
        <f>GETPIVOTDATA("Weight(LBS)",$A$38)/2000</f>
        <v>18.932573187999996</v>
      </c>
    </row>
    <row r="49" spans="1:5">
      <c r="A49" s="169" t="s">
        <v>541</v>
      </c>
      <c r="B49" s="173"/>
      <c r="C49" s="173"/>
      <c r="D49" s="173"/>
      <c r="E49" s="173"/>
    </row>
    <row r="50" spans="1:5">
      <c r="A50" s="174" t="s">
        <v>539</v>
      </c>
      <c r="B50" s="174" t="s">
        <v>48</v>
      </c>
      <c r="C50" s="173"/>
      <c r="D50" s="173"/>
      <c r="E50" s="173"/>
    </row>
    <row r="51" spans="1:5">
      <c r="A51" s="175" t="s">
        <v>47</v>
      </c>
      <c r="B51" s="175" t="s">
        <v>65</v>
      </c>
      <c r="C51" s="175" t="s">
        <v>61</v>
      </c>
      <c r="D51" s="175" t="s">
        <v>57</v>
      </c>
      <c r="E51" s="176" t="s">
        <v>538</v>
      </c>
    </row>
    <row r="52" spans="1:5">
      <c r="A52" s="173">
        <v>4</v>
      </c>
      <c r="B52" s="170">
        <v>1270.2688000000003</v>
      </c>
      <c r="C52" s="170">
        <v>19559.04</v>
      </c>
      <c r="D52" s="170">
        <v>395.31705600000004</v>
      </c>
      <c r="E52" s="170">
        <v>21224.625856000002</v>
      </c>
    </row>
    <row r="53" spans="1:5">
      <c r="A53" s="173">
        <v>5</v>
      </c>
      <c r="B53" s="170">
        <v>367.80351999999993</v>
      </c>
      <c r="C53" s="170">
        <v>834.4</v>
      </c>
      <c r="D53" s="170">
        <v>720.24364999999989</v>
      </c>
      <c r="E53" s="170">
        <v>1922.4471699999999</v>
      </c>
    </row>
    <row r="54" spans="1:5">
      <c r="A54" s="173">
        <v>7</v>
      </c>
      <c r="B54" s="170">
        <v>1275.4559999999999</v>
      </c>
      <c r="C54" s="170"/>
      <c r="D54" s="170"/>
      <c r="E54" s="170">
        <v>1275.4559999999999</v>
      </c>
    </row>
    <row r="55" spans="1:5">
      <c r="A55" s="177" t="s">
        <v>538</v>
      </c>
      <c r="B55" s="170">
        <v>2913.5283200000003</v>
      </c>
      <c r="C55" s="170">
        <v>20393.440000000002</v>
      </c>
      <c r="D55" s="170">
        <v>1115.560706</v>
      </c>
      <c r="E55" s="170">
        <v>24422.529026</v>
      </c>
    </row>
    <row r="56" spans="1:5">
      <c r="D56" s="178" t="s">
        <v>90</v>
      </c>
      <c r="E56" s="172">
        <f>GETPIVOTDATA("Weight(LBS)",$A$50)/2000</f>
        <v>12.211264513</v>
      </c>
    </row>
    <row r="58" spans="1:5">
      <c r="A58" s="169" t="s">
        <v>542</v>
      </c>
      <c r="B58" s="173"/>
      <c r="C58" s="173"/>
      <c r="D58" s="173"/>
    </row>
    <row r="59" spans="1:5">
      <c r="A59" s="174" t="s">
        <v>539</v>
      </c>
      <c r="B59" s="174" t="s">
        <v>48</v>
      </c>
      <c r="C59" s="173"/>
      <c r="D59" s="173"/>
    </row>
    <row r="60" spans="1:5">
      <c r="A60" s="175" t="s">
        <v>47</v>
      </c>
      <c r="B60" s="175" t="s">
        <v>65</v>
      </c>
      <c r="C60" s="175" t="s">
        <v>57</v>
      </c>
      <c r="D60" s="176" t="s">
        <v>538</v>
      </c>
    </row>
    <row r="61" spans="1:5">
      <c r="A61" s="173">
        <v>3</v>
      </c>
      <c r="B61" s="170">
        <v>9158.254560000003</v>
      </c>
      <c r="C61" s="170"/>
      <c r="D61" s="170">
        <v>9158.254560000003</v>
      </c>
    </row>
    <row r="62" spans="1:5">
      <c r="A62" s="173">
        <v>8</v>
      </c>
      <c r="B62" s="170">
        <v>2698.4088000000011</v>
      </c>
      <c r="C62" s="170">
        <v>6303.9767999999995</v>
      </c>
      <c r="D62" s="170">
        <v>9002.3856000000014</v>
      </c>
    </row>
    <row r="63" spans="1:5">
      <c r="A63" s="173">
        <v>9</v>
      </c>
      <c r="B63" s="170">
        <v>4984.536000000001</v>
      </c>
      <c r="C63" s="170">
        <v>11351.375999999997</v>
      </c>
      <c r="D63" s="170">
        <v>16335.911999999997</v>
      </c>
    </row>
    <row r="64" spans="1:5">
      <c r="A64" s="173">
        <v>10</v>
      </c>
      <c r="B64" s="170">
        <v>2168.1956400000008</v>
      </c>
      <c r="C64" s="170">
        <v>4642.5927599999986</v>
      </c>
      <c r="D64" s="170">
        <v>6810.7883999999995</v>
      </c>
    </row>
    <row r="65" spans="1:5">
      <c r="A65" s="177" t="s">
        <v>538</v>
      </c>
      <c r="B65" s="170">
        <v>19009.395000000008</v>
      </c>
      <c r="C65" s="170">
        <v>22297.945559999996</v>
      </c>
      <c r="D65" s="170">
        <v>41307.340559999997</v>
      </c>
    </row>
    <row r="66" spans="1:5">
      <c r="C66" s="178" t="s">
        <v>90</v>
      </c>
      <c r="D66" s="172">
        <f>GETPIVOTDATA("Weight(LBS)",$A$59)/2000</f>
        <v>20.65367028</v>
      </c>
    </row>
    <row r="68" spans="1:5">
      <c r="A68" s="169" t="s">
        <v>543</v>
      </c>
      <c r="B68" s="173"/>
      <c r="C68" s="173"/>
      <c r="D68" s="173"/>
      <c r="E68" s="173"/>
    </row>
    <row r="69" spans="1:5">
      <c r="A69" s="174" t="s">
        <v>539</v>
      </c>
      <c r="B69" s="174" t="s">
        <v>48</v>
      </c>
      <c r="C69" s="173"/>
      <c r="D69" s="173"/>
      <c r="E69" s="173"/>
    </row>
    <row r="70" spans="1:5">
      <c r="A70" s="175" t="s">
        <v>47</v>
      </c>
      <c r="B70" s="175" t="s">
        <v>65</v>
      </c>
      <c r="C70" s="175" t="s">
        <v>61</v>
      </c>
      <c r="D70" s="175" t="s">
        <v>57</v>
      </c>
      <c r="E70" s="176" t="s">
        <v>538</v>
      </c>
    </row>
    <row r="71" spans="1:5">
      <c r="A71" s="173">
        <v>3</v>
      </c>
      <c r="B71" s="170">
        <v>309.75632000000002</v>
      </c>
      <c r="C71" s="170"/>
      <c r="D71" s="170"/>
      <c r="E71" s="170">
        <v>309.75632000000002</v>
      </c>
    </row>
    <row r="72" spans="1:5">
      <c r="A72" s="173">
        <v>4</v>
      </c>
      <c r="B72" s="170">
        <v>2297.3041039999989</v>
      </c>
      <c r="C72" s="170">
        <v>31422.720000000001</v>
      </c>
      <c r="D72" s="170">
        <v>3867.4915439999995</v>
      </c>
      <c r="E72" s="170">
        <v>37587.515647999993</v>
      </c>
    </row>
    <row r="73" spans="1:5">
      <c r="A73" s="173">
        <v>5</v>
      </c>
      <c r="B73" s="170">
        <v>7830.7605599999997</v>
      </c>
      <c r="C73" s="170">
        <v>2086</v>
      </c>
      <c r="D73" s="170">
        <v>410.77407700000003</v>
      </c>
      <c r="E73" s="170">
        <v>10327.534636999999</v>
      </c>
    </row>
    <row r="74" spans="1:5">
      <c r="A74" s="173">
        <v>7</v>
      </c>
      <c r="B74" s="170"/>
      <c r="C74" s="170"/>
      <c r="D74" s="170">
        <v>100289.46298</v>
      </c>
      <c r="E74" s="170">
        <v>100289.46298</v>
      </c>
    </row>
    <row r="75" spans="1:5">
      <c r="A75" s="173">
        <v>8</v>
      </c>
      <c r="B75" s="170"/>
      <c r="C75" s="170"/>
      <c r="D75" s="170">
        <v>2285.71758</v>
      </c>
      <c r="E75" s="170">
        <v>2285.71758</v>
      </c>
    </row>
    <row r="76" spans="1:5">
      <c r="A76" s="173">
        <v>9</v>
      </c>
      <c r="B76" s="170"/>
      <c r="C76" s="170"/>
      <c r="D76" s="170">
        <v>622.60799999999995</v>
      </c>
      <c r="E76" s="170">
        <v>622.60799999999995</v>
      </c>
    </row>
    <row r="77" spans="1:5">
      <c r="A77" s="177" t="s">
        <v>538</v>
      </c>
      <c r="B77" s="170">
        <v>10437.820983999998</v>
      </c>
      <c r="C77" s="170">
        <v>33508.720000000001</v>
      </c>
      <c r="D77" s="170">
        <v>107476.05418099998</v>
      </c>
      <c r="E77" s="170">
        <v>151422.59516500001</v>
      </c>
    </row>
    <row r="78" spans="1:5">
      <c r="D78" s="178" t="s">
        <v>90</v>
      </c>
      <c r="E78" s="172">
        <f>GETPIVOTDATA("Weight(LBS)",$A$69)/2000</f>
        <v>75.711297582500009</v>
      </c>
    </row>
    <row r="80" spans="1:5">
      <c r="A80" s="169" t="s">
        <v>544</v>
      </c>
      <c r="B80" s="173"/>
      <c r="C80" s="173"/>
      <c r="D80" s="173"/>
    </row>
    <row r="81" spans="1:5">
      <c r="A81" s="174" t="s">
        <v>539</v>
      </c>
      <c r="B81" s="174" t="s">
        <v>48</v>
      </c>
      <c r="C81" s="173"/>
      <c r="D81" s="173"/>
    </row>
    <row r="82" spans="1:5">
      <c r="A82" s="175" t="s">
        <v>47</v>
      </c>
      <c r="B82" s="175" t="s">
        <v>65</v>
      </c>
      <c r="C82" s="175" t="s">
        <v>57</v>
      </c>
      <c r="D82" s="176" t="s">
        <v>538</v>
      </c>
    </row>
    <row r="83" spans="1:5">
      <c r="A83" s="173">
        <v>3</v>
      </c>
      <c r="B83" s="170">
        <v>688.35072000000014</v>
      </c>
      <c r="C83" s="170"/>
      <c r="D83" s="170">
        <v>688.35072000000014</v>
      </c>
    </row>
    <row r="84" spans="1:5">
      <c r="A84" s="173">
        <v>5</v>
      </c>
      <c r="B84" s="170">
        <v>163.75099999999998</v>
      </c>
      <c r="C84" s="170">
        <v>212.58425999999997</v>
      </c>
      <c r="D84" s="170">
        <v>376.33525999999995</v>
      </c>
    </row>
    <row r="85" spans="1:5">
      <c r="A85" s="173">
        <v>7</v>
      </c>
      <c r="B85" s="170">
        <v>360.255</v>
      </c>
      <c r="C85" s="170">
        <v>111.90900000000001</v>
      </c>
      <c r="D85" s="170">
        <v>472.16399999999999</v>
      </c>
    </row>
    <row r="86" spans="1:5">
      <c r="A86" s="173">
        <v>8</v>
      </c>
      <c r="B86" s="170">
        <v>201.58500000000001</v>
      </c>
      <c r="C86" s="170">
        <v>282.35249999999996</v>
      </c>
      <c r="D86" s="170">
        <v>483.9375</v>
      </c>
    </row>
    <row r="87" spans="1:5">
      <c r="A87" s="173">
        <v>9</v>
      </c>
      <c r="B87" s="170">
        <v>339.15</v>
      </c>
      <c r="C87" s="170">
        <v>1106.6999999999998</v>
      </c>
      <c r="D87" s="170">
        <v>1445.85</v>
      </c>
    </row>
    <row r="88" spans="1:5">
      <c r="A88" s="173">
        <v>10</v>
      </c>
      <c r="B88" s="170"/>
      <c r="C88" s="170">
        <v>1284.4454999999998</v>
      </c>
      <c r="D88" s="170">
        <v>1284.4454999999998</v>
      </c>
    </row>
    <row r="89" spans="1:5">
      <c r="A89" s="177" t="s">
        <v>538</v>
      </c>
      <c r="B89" s="170">
        <v>1753.0917200000004</v>
      </c>
      <c r="C89" s="170">
        <v>2997.9912599999998</v>
      </c>
      <c r="D89" s="170">
        <v>4751.0829800000001</v>
      </c>
    </row>
    <row r="90" spans="1:5">
      <c r="C90" s="178" t="s">
        <v>90</v>
      </c>
      <c r="D90" s="172">
        <f>GETPIVOTDATA("Weight(LBS)",$A$81)/2000</f>
        <v>2.3755414900000003</v>
      </c>
    </row>
    <row r="92" spans="1:5">
      <c r="A92" s="169" t="s">
        <v>545</v>
      </c>
      <c r="B92" s="173"/>
      <c r="C92" s="173"/>
      <c r="D92" s="173"/>
      <c r="E92" s="173"/>
    </row>
    <row r="93" spans="1:5">
      <c r="A93" s="174" t="s">
        <v>539</v>
      </c>
      <c r="B93" s="174" t="s">
        <v>48</v>
      </c>
      <c r="C93" s="173"/>
      <c r="D93" s="173"/>
      <c r="E93" s="173"/>
    </row>
    <row r="94" spans="1:5">
      <c r="A94" s="175" t="s">
        <v>47</v>
      </c>
      <c r="B94" s="175" t="s">
        <v>65</v>
      </c>
      <c r="C94" s="175" t="s">
        <v>61</v>
      </c>
      <c r="D94" s="175" t="s">
        <v>57</v>
      </c>
      <c r="E94" s="176" t="s">
        <v>538</v>
      </c>
    </row>
    <row r="95" spans="1:5">
      <c r="A95" s="173">
        <v>4</v>
      </c>
      <c r="B95" s="170">
        <v>7390.3378400000001</v>
      </c>
      <c r="C95" s="170"/>
      <c r="D95" s="170">
        <v>424.17999999999995</v>
      </c>
      <c r="E95" s="170">
        <v>7814.5178400000004</v>
      </c>
    </row>
    <row r="96" spans="1:5">
      <c r="A96" s="173">
        <v>5</v>
      </c>
      <c r="B96" s="170">
        <v>6975.281530000002</v>
      </c>
      <c r="C96" s="170">
        <v>667.52</v>
      </c>
      <c r="D96" s="170">
        <v>16113.604254999993</v>
      </c>
      <c r="E96" s="170">
        <v>23756.405784999995</v>
      </c>
    </row>
    <row r="97" spans="1:5">
      <c r="A97" s="173">
        <v>6</v>
      </c>
      <c r="B97" s="170">
        <v>3379.900282999999</v>
      </c>
      <c r="C97" s="170"/>
      <c r="D97" s="170">
        <v>25230.07030000001</v>
      </c>
      <c r="E97" s="170">
        <v>28609.970583000009</v>
      </c>
    </row>
    <row r="98" spans="1:5">
      <c r="A98" s="173">
        <v>7</v>
      </c>
      <c r="B98" s="170">
        <v>3063.0321120000003</v>
      </c>
      <c r="C98" s="170"/>
      <c r="D98" s="170">
        <v>16111.290384000004</v>
      </c>
      <c r="E98" s="170">
        <v>19174.322496000004</v>
      </c>
    </row>
    <row r="99" spans="1:5">
      <c r="A99" s="173">
        <v>8</v>
      </c>
      <c r="B99" s="170">
        <v>3721.2190500000002</v>
      </c>
      <c r="C99" s="170">
        <v>1495.2</v>
      </c>
      <c r="D99" s="170">
        <v>19050.967979999994</v>
      </c>
      <c r="E99" s="170">
        <v>24267.387029999994</v>
      </c>
    </row>
    <row r="100" spans="1:5">
      <c r="A100" s="173">
        <v>9</v>
      </c>
      <c r="B100" s="170">
        <v>282.53999999999996</v>
      </c>
      <c r="C100" s="170"/>
      <c r="D100" s="170">
        <v>17096.016000000003</v>
      </c>
      <c r="E100" s="170">
        <v>17378.556000000004</v>
      </c>
    </row>
    <row r="101" spans="1:5">
      <c r="A101" s="177" t="s">
        <v>538</v>
      </c>
      <c r="B101" s="170">
        <v>24812.310815000004</v>
      </c>
      <c r="C101" s="170">
        <v>2162.7200000000003</v>
      </c>
      <c r="D101" s="170">
        <v>94026.12891900001</v>
      </c>
      <c r="E101" s="170">
        <v>121001.15973400002</v>
      </c>
    </row>
    <row r="102" spans="1:5">
      <c r="D102" s="178" t="s">
        <v>90</v>
      </c>
      <c r="E102" s="172">
        <f>GETPIVOTDATA("Weight(LBS)",$A$93)/2000</f>
        <v>60.500579867000006</v>
      </c>
    </row>
    <row r="104" spans="1:5">
      <c r="A104" s="169" t="s">
        <v>546</v>
      </c>
      <c r="B104" s="173"/>
      <c r="C104" s="173"/>
      <c r="D104" s="173"/>
    </row>
    <row r="105" spans="1:5">
      <c r="A105" s="174" t="s">
        <v>539</v>
      </c>
      <c r="B105" s="174" t="s">
        <v>48</v>
      </c>
      <c r="C105" s="173"/>
      <c r="D105" s="173"/>
    </row>
    <row r="106" spans="1:5">
      <c r="A106" s="175" t="s">
        <v>47</v>
      </c>
      <c r="B106" s="175" t="s">
        <v>65</v>
      </c>
      <c r="C106" s="175" t="s">
        <v>57</v>
      </c>
      <c r="D106" s="176" t="s">
        <v>538</v>
      </c>
    </row>
    <row r="107" spans="1:5">
      <c r="A107" s="173">
        <v>3</v>
      </c>
      <c r="B107" s="170">
        <v>183.06688000000003</v>
      </c>
      <c r="C107" s="170"/>
      <c r="D107" s="170">
        <v>183.06688000000003</v>
      </c>
    </row>
    <row r="108" spans="1:5">
      <c r="A108" s="173">
        <v>7</v>
      </c>
      <c r="B108" s="170">
        <v>107.12603999999999</v>
      </c>
      <c r="C108" s="170"/>
      <c r="D108" s="170">
        <v>107.12603999999999</v>
      </c>
    </row>
    <row r="109" spans="1:5">
      <c r="A109" s="173">
        <v>8</v>
      </c>
      <c r="B109" s="170">
        <v>160.86750000000001</v>
      </c>
      <c r="C109" s="170">
        <v>254.02379999999999</v>
      </c>
      <c r="D109" s="170">
        <v>414.8913</v>
      </c>
    </row>
    <row r="110" spans="1:5">
      <c r="A110" s="173">
        <v>9</v>
      </c>
      <c r="B110" s="170"/>
      <c r="C110" s="170">
        <v>419.9</v>
      </c>
      <c r="D110" s="170">
        <v>419.9</v>
      </c>
    </row>
    <row r="111" spans="1:5">
      <c r="A111" s="177" t="s">
        <v>538</v>
      </c>
      <c r="B111" s="170">
        <v>451.06042000000002</v>
      </c>
      <c r="C111" s="170">
        <v>673.92380000000003</v>
      </c>
      <c r="D111" s="170">
        <v>1124.9842199999998</v>
      </c>
    </row>
    <row r="112" spans="1:5">
      <c r="C112" s="178" t="s">
        <v>90</v>
      </c>
      <c r="D112" s="172">
        <f>GETPIVOTDATA("Weight(LBS)",$A$105)/2000</f>
        <v>0.56249210999999988</v>
      </c>
    </row>
    <row r="114" spans="1:5">
      <c r="A114" s="169" t="s">
        <v>547</v>
      </c>
      <c r="B114" s="173"/>
      <c r="C114" s="173"/>
      <c r="D114" s="173"/>
      <c r="E114" s="173"/>
    </row>
    <row r="115" spans="1:5">
      <c r="A115" s="174" t="s">
        <v>539</v>
      </c>
      <c r="B115" s="174" t="s">
        <v>48</v>
      </c>
      <c r="C115" s="173"/>
      <c r="D115" s="173"/>
      <c r="E115" s="173"/>
    </row>
    <row r="116" spans="1:5">
      <c r="A116" s="175" t="s">
        <v>47</v>
      </c>
      <c r="B116" s="175" t="s">
        <v>65</v>
      </c>
      <c r="C116" s="175" t="s">
        <v>61</v>
      </c>
      <c r="D116" s="175" t="s">
        <v>57</v>
      </c>
      <c r="E116" s="176" t="s">
        <v>538</v>
      </c>
    </row>
    <row r="117" spans="1:5">
      <c r="A117" s="173">
        <v>4</v>
      </c>
      <c r="B117" s="170">
        <v>4329.2278400000005</v>
      </c>
      <c r="C117" s="170">
        <v>2191.0400000000004</v>
      </c>
      <c r="D117" s="170">
        <v>937.20934399999999</v>
      </c>
      <c r="E117" s="170">
        <v>7457.4771840000003</v>
      </c>
    </row>
    <row r="118" spans="1:5">
      <c r="A118" s="173">
        <v>5</v>
      </c>
      <c r="B118" s="170">
        <v>2038.2916155000003</v>
      </c>
      <c r="C118" s="170"/>
      <c r="D118" s="170">
        <v>23699.986785999998</v>
      </c>
      <c r="E118" s="170">
        <v>25738.2784015</v>
      </c>
    </row>
    <row r="119" spans="1:5">
      <c r="A119" s="173">
        <v>6</v>
      </c>
      <c r="B119" s="170">
        <v>496.08206200000006</v>
      </c>
      <c r="C119" s="170">
        <v>901.19999999999993</v>
      </c>
      <c r="D119" s="170">
        <v>24671.693013300002</v>
      </c>
      <c r="E119" s="170">
        <v>26068.975075300001</v>
      </c>
    </row>
    <row r="120" spans="1:5">
      <c r="A120" s="173">
        <v>7</v>
      </c>
      <c r="B120" s="170">
        <v>197.67728400000004</v>
      </c>
      <c r="C120" s="170"/>
      <c r="D120" s="170">
        <v>15312.547306000002</v>
      </c>
      <c r="E120" s="170">
        <v>15510.224590000002</v>
      </c>
    </row>
    <row r="121" spans="1:5">
      <c r="A121" s="173">
        <v>8</v>
      </c>
      <c r="B121" s="170">
        <v>63.193559999999998</v>
      </c>
      <c r="C121" s="170"/>
      <c r="D121" s="170">
        <v>23818.815148500002</v>
      </c>
      <c r="E121" s="170">
        <v>23882.008708500001</v>
      </c>
    </row>
    <row r="122" spans="1:5">
      <c r="A122" s="173">
        <v>9</v>
      </c>
      <c r="B122" s="170"/>
      <c r="C122" s="170">
        <v>1904</v>
      </c>
      <c r="D122" s="170">
        <v>17297.2484</v>
      </c>
      <c r="E122" s="170">
        <v>19201.2484</v>
      </c>
    </row>
    <row r="123" spans="1:5">
      <c r="A123" s="177" t="s">
        <v>538</v>
      </c>
      <c r="B123" s="170">
        <v>7124.4723615000012</v>
      </c>
      <c r="C123" s="170">
        <v>4996.24</v>
      </c>
      <c r="D123" s="170">
        <v>105737.4999978</v>
      </c>
      <c r="E123" s="170">
        <v>117858.2123593</v>
      </c>
    </row>
    <row r="124" spans="1:5">
      <c r="D124" s="178" t="s">
        <v>90</v>
      </c>
      <c r="E124" s="172">
        <f>GETPIVOTDATA("Weight(LBS)",$A$115)/2000</f>
        <v>58.929106179649999</v>
      </c>
    </row>
    <row r="126" spans="1:5">
      <c r="A126" s="169" t="s">
        <v>548</v>
      </c>
      <c r="B126" s="173"/>
      <c r="C126" s="173"/>
      <c r="D126" s="173"/>
      <c r="E126" s="173"/>
    </row>
    <row r="127" spans="1:5">
      <c r="A127" s="174" t="s">
        <v>539</v>
      </c>
      <c r="B127" s="174" t="s">
        <v>48</v>
      </c>
      <c r="C127" s="173"/>
      <c r="D127" s="173"/>
      <c r="E127" s="173"/>
    </row>
    <row r="128" spans="1:5">
      <c r="A128" s="175" t="s">
        <v>47</v>
      </c>
      <c r="B128" s="175" t="s">
        <v>65</v>
      </c>
      <c r="C128" s="175" t="s">
        <v>61</v>
      </c>
      <c r="D128" s="175" t="s">
        <v>57</v>
      </c>
      <c r="E128" s="176" t="s">
        <v>538</v>
      </c>
    </row>
    <row r="129" spans="1:5">
      <c r="A129" s="173">
        <v>3</v>
      </c>
      <c r="B129" s="170">
        <v>1067.2835200000002</v>
      </c>
      <c r="C129" s="170"/>
      <c r="D129" s="170"/>
      <c r="E129" s="170">
        <v>1067.2835200000002</v>
      </c>
    </row>
    <row r="130" spans="1:5">
      <c r="A130" s="173">
        <v>4</v>
      </c>
      <c r="B130" s="170">
        <v>729.95699999999999</v>
      </c>
      <c r="C130" s="170"/>
      <c r="D130" s="170"/>
      <c r="E130" s="170">
        <v>729.95699999999999</v>
      </c>
    </row>
    <row r="131" spans="1:5">
      <c r="A131" s="173">
        <v>5</v>
      </c>
      <c r="B131" s="170"/>
      <c r="C131" s="170"/>
      <c r="D131" s="170">
        <v>1248.9924999999998</v>
      </c>
      <c r="E131" s="170">
        <v>1248.9924999999998</v>
      </c>
    </row>
    <row r="132" spans="1:5">
      <c r="A132" s="173">
        <v>7</v>
      </c>
      <c r="B132" s="170">
        <v>144.94003999999998</v>
      </c>
      <c r="C132" s="170"/>
      <c r="D132" s="170"/>
      <c r="E132" s="170">
        <v>144.94003999999998</v>
      </c>
    </row>
    <row r="133" spans="1:5">
      <c r="A133" s="173">
        <v>8</v>
      </c>
      <c r="B133" s="170"/>
      <c r="C133" s="170"/>
      <c r="D133" s="170">
        <v>352.81379999999996</v>
      </c>
      <c r="E133" s="170">
        <v>352.81379999999996</v>
      </c>
    </row>
    <row r="134" spans="1:5">
      <c r="A134" s="173">
        <v>9</v>
      </c>
      <c r="B134" s="170">
        <v>316.2</v>
      </c>
      <c r="C134" s="170"/>
      <c r="D134" s="170">
        <v>309.39999999999998</v>
      </c>
      <c r="E134" s="170">
        <v>625.59999999999991</v>
      </c>
    </row>
    <row r="135" spans="1:5">
      <c r="A135" s="173">
        <v>10</v>
      </c>
      <c r="B135" s="170">
        <v>1650.0929249999999</v>
      </c>
      <c r="C135" s="170">
        <v>6884.8</v>
      </c>
      <c r="D135" s="170">
        <v>602.41999999999996</v>
      </c>
      <c r="E135" s="170">
        <v>9137.3129250000002</v>
      </c>
    </row>
    <row r="136" spans="1:5">
      <c r="A136" s="173">
        <v>11</v>
      </c>
      <c r="B136" s="170">
        <v>1030.2969600000001</v>
      </c>
      <c r="C136" s="170"/>
      <c r="D136" s="170">
        <v>2539.6139999999996</v>
      </c>
      <c r="E136" s="170">
        <v>3569.9109599999997</v>
      </c>
    </row>
    <row r="137" spans="1:5">
      <c r="A137" s="177" t="s">
        <v>538</v>
      </c>
      <c r="B137" s="170">
        <v>4938.7704450000001</v>
      </c>
      <c r="C137" s="170">
        <v>6884.8</v>
      </c>
      <c r="D137" s="170">
        <v>5053.2402999999995</v>
      </c>
      <c r="E137" s="170">
        <v>16876.810744999999</v>
      </c>
    </row>
    <row r="138" spans="1:5">
      <c r="D138" s="178" t="s">
        <v>90</v>
      </c>
      <c r="E138" s="172">
        <f>GETPIVOTDATA("Weight(LBS)",$A$127)/2000</f>
        <v>8.4384053725000001</v>
      </c>
    </row>
    <row r="140" spans="1:5">
      <c r="A140" s="169" t="s">
        <v>549</v>
      </c>
      <c r="B140" s="173"/>
      <c r="C140" s="173"/>
      <c r="D140" s="173"/>
      <c r="E140" s="173"/>
    </row>
    <row r="141" spans="1:5">
      <c r="A141" s="174" t="s">
        <v>539</v>
      </c>
      <c r="B141" s="174" t="s">
        <v>48</v>
      </c>
      <c r="C141" s="173"/>
      <c r="D141" s="173"/>
      <c r="E141" s="173"/>
    </row>
    <row r="142" spans="1:5">
      <c r="A142" s="175" t="s">
        <v>47</v>
      </c>
      <c r="B142" s="175" t="s">
        <v>65</v>
      </c>
      <c r="C142" s="175" t="s">
        <v>61</v>
      </c>
      <c r="D142" s="175" t="s">
        <v>57</v>
      </c>
      <c r="E142" s="176" t="s">
        <v>538</v>
      </c>
    </row>
    <row r="143" spans="1:5">
      <c r="A143" s="173">
        <v>4</v>
      </c>
      <c r="B143" s="170">
        <v>3476.6728000000003</v>
      </c>
      <c r="C143" s="170">
        <v>2004.0000000000002</v>
      </c>
      <c r="D143" s="170">
        <v>538.67520000000002</v>
      </c>
      <c r="E143" s="170">
        <v>6019.348</v>
      </c>
    </row>
    <row r="144" spans="1:5">
      <c r="A144" s="173">
        <v>5</v>
      </c>
      <c r="B144" s="170">
        <v>2153.3892729999998</v>
      </c>
      <c r="C144" s="170"/>
      <c r="D144" s="170">
        <v>15041.71028675</v>
      </c>
      <c r="E144" s="170">
        <v>17195.09955975</v>
      </c>
    </row>
    <row r="145" spans="1:5">
      <c r="A145" s="173">
        <v>6</v>
      </c>
      <c r="B145" s="170">
        <v>303.67435999999998</v>
      </c>
      <c r="C145" s="170"/>
      <c r="D145" s="170">
        <v>24661.951717200001</v>
      </c>
      <c r="E145" s="170">
        <v>24965.626077200002</v>
      </c>
    </row>
    <row r="146" spans="1:5">
      <c r="A146" s="173">
        <v>7</v>
      </c>
      <c r="B146" s="170">
        <v>2128.0390600000001</v>
      </c>
      <c r="C146" s="170"/>
      <c r="D146" s="170">
        <v>29497.864995199998</v>
      </c>
      <c r="E146" s="170">
        <v>31625.904055199997</v>
      </c>
    </row>
    <row r="147" spans="1:5">
      <c r="A147" s="173">
        <v>8</v>
      </c>
      <c r="B147" s="170">
        <v>523.05834000000004</v>
      </c>
      <c r="C147" s="170">
        <v>1602</v>
      </c>
      <c r="D147" s="170">
        <v>32572.490114999997</v>
      </c>
      <c r="E147" s="170">
        <v>34697.548454999996</v>
      </c>
    </row>
    <row r="148" spans="1:5">
      <c r="A148" s="173">
        <v>9</v>
      </c>
      <c r="B148" s="170">
        <v>1142.3999999999999</v>
      </c>
      <c r="C148" s="170"/>
      <c r="D148" s="170">
        <v>60510.88833999999</v>
      </c>
      <c r="E148" s="170">
        <v>61653.288339999992</v>
      </c>
    </row>
    <row r="149" spans="1:5">
      <c r="A149" s="173">
        <v>10</v>
      </c>
      <c r="B149" s="170"/>
      <c r="C149" s="170"/>
      <c r="D149" s="170">
        <v>6807.7332699999997</v>
      </c>
      <c r="E149" s="170">
        <v>6807.7332699999997</v>
      </c>
    </row>
    <row r="150" spans="1:5">
      <c r="A150" s="177" t="s">
        <v>538</v>
      </c>
      <c r="B150" s="170">
        <v>9727.2338330000002</v>
      </c>
      <c r="C150" s="170">
        <v>3606</v>
      </c>
      <c r="D150" s="170">
        <v>169631.31392414999</v>
      </c>
      <c r="E150" s="170">
        <v>182964.54775714999</v>
      </c>
    </row>
    <row r="151" spans="1:5">
      <c r="D151" s="178" t="s">
        <v>90</v>
      </c>
      <c r="E151" s="172">
        <f>GETPIVOTDATA("Weight(LBS)",$A$141)/2000</f>
        <v>91.482273878575</v>
      </c>
    </row>
    <row r="153" spans="1:5">
      <c r="A153" s="169" t="s">
        <v>550</v>
      </c>
      <c r="B153" s="173"/>
      <c r="C153" s="173"/>
      <c r="D153" s="173"/>
    </row>
    <row r="154" spans="1:5">
      <c r="A154" s="174" t="s">
        <v>539</v>
      </c>
      <c r="B154" s="174" t="s">
        <v>48</v>
      </c>
      <c r="C154" s="173"/>
      <c r="D154" s="173"/>
    </row>
    <row r="155" spans="1:5">
      <c r="A155" s="175" t="s">
        <v>47</v>
      </c>
      <c r="B155" s="175" t="s">
        <v>65</v>
      </c>
      <c r="C155" s="175" t="s">
        <v>57</v>
      </c>
      <c r="D155" s="176" t="s">
        <v>538</v>
      </c>
    </row>
    <row r="156" spans="1:5">
      <c r="A156" s="173">
        <v>3</v>
      </c>
      <c r="B156" s="170"/>
      <c r="C156" s="170">
        <v>141.66552000000001</v>
      </c>
      <c r="D156" s="170">
        <v>141.66552000000001</v>
      </c>
    </row>
    <row r="157" spans="1:5">
      <c r="A157" s="173">
        <v>4</v>
      </c>
      <c r="B157" s="170">
        <v>570.51207999999997</v>
      </c>
      <c r="C157" s="170">
        <v>925.57412000000033</v>
      </c>
      <c r="D157" s="170">
        <v>1496.0862000000002</v>
      </c>
    </row>
    <row r="158" spans="1:5">
      <c r="A158" s="173">
        <v>5</v>
      </c>
      <c r="B158" s="170">
        <v>57.364999999999995</v>
      </c>
      <c r="C158" s="170">
        <v>431.34307999999999</v>
      </c>
      <c r="D158" s="170">
        <v>488.70808</v>
      </c>
    </row>
    <row r="159" spans="1:5">
      <c r="A159" s="177" t="s">
        <v>538</v>
      </c>
      <c r="B159" s="170">
        <v>627.87707999999998</v>
      </c>
      <c r="C159" s="170">
        <v>1498.5827200000003</v>
      </c>
      <c r="D159" s="170">
        <v>2126.4598000000001</v>
      </c>
    </row>
    <row r="160" spans="1:5">
      <c r="C160" s="178" t="s">
        <v>90</v>
      </c>
      <c r="D160" s="172">
        <f>GETPIVOTDATA("Weight(LBS)",$A$154)/2000</f>
        <v>1.0632299000000001</v>
      </c>
    </row>
    <row r="163" spans="1:8">
      <c r="A163" s="208" t="s">
        <v>569</v>
      </c>
      <c r="B163" s="208"/>
      <c r="C163" s="208"/>
      <c r="D163" s="208"/>
      <c r="E163" s="208"/>
      <c r="F163" s="208"/>
      <c r="G163" s="208"/>
      <c r="H163" s="208"/>
    </row>
    <row r="164" spans="1:8">
      <c r="A164" s="169" t="s">
        <v>570</v>
      </c>
      <c r="B164" s="169" t="s">
        <v>552</v>
      </c>
      <c r="C164" s="18"/>
      <c r="D164" s="18"/>
      <c r="E164" s="18"/>
      <c r="F164" s="18"/>
      <c r="G164" s="18"/>
      <c r="H164" s="18"/>
    </row>
    <row r="165" spans="1:8">
      <c r="A165" s="173" t="s">
        <v>571</v>
      </c>
      <c r="B165" s="173"/>
    </row>
    <row r="166" spans="1:8">
      <c r="A166" s="173" t="s">
        <v>572</v>
      </c>
      <c r="B166" s="170">
        <f>GETPIVOTDATA("Weight(LBS)",$A$154,"Bar Dia",3)+GETPIVOTDATA("Weight(LBS)",$A$127,"Bar Dia",3)+GETPIVOTDATA("Weight(LBS)",$A$105,"Bar Dia",3)+GETPIVOTDATA("Weight(LBS)",$A$81,"Bar Dia",3)+GETPIVOTDATA("Weight(LBS)",$A$69,"Bar Dia",3)+GETPIVOTDATA("Weight(LBS)",$A$59,"Bar Dia",3)</f>
        <v>11548.377520000004</v>
      </c>
    </row>
    <row r="167" spans="1:8">
      <c r="A167" s="173" t="s">
        <v>573</v>
      </c>
      <c r="B167" s="170">
        <f>GETPIVOTDATA("Weight(LBS)",$A$154,"Bar Dia",4)+GETPIVOTDATA("Weight(LBS)",$A$141,"Bar Dia",4)+GETPIVOTDATA("Weight(LBS)",$A$127,"Bar Dia",4)+GETPIVOTDATA("Weight(LBS)",$A$115,"Bar Dia",4)+GETPIVOTDATA("Weight(LBS)",$A$93,"Bar Dia",4)+GETPIVOTDATA("Weight(LBS)",$A$69,"Bar Dia",4)+GETPIVOTDATA("Weight(LBS)",$A$50,"Bar Dia",4)+GETPIVOTDATA("Weight(LBS)",$A$38,"Bar Dia",4)</f>
        <v>83753.703728000008</v>
      </c>
    </row>
    <row r="168" spans="1:8">
      <c r="A168" s="173" t="s">
        <v>574</v>
      </c>
      <c r="B168" s="170">
        <f>GETPIVOTDATA("Weight(LBS)",$A$154,"Bar Dia",5)+GETPIVOTDATA("Weight(LBS)",$A$141,"Bar Dia",5)+GETPIVOTDATA("Weight(LBS)",$A$127,"Bar Dia",5)+GETPIVOTDATA("Weight(LBS)",$A$115,"Bar Dia",5)+GETPIVOTDATA("Weight(LBS)",$A$93,"Bar Dia",5)+GETPIVOTDATA("Weight(LBS)",$A$81,"Bar Dia",5)+GETPIVOTDATA("Weight(LBS)",$A$69,"Bar Dia",5)+GETPIVOTDATA("Weight(LBS)",$A$50,"Bar Dia",5)+GETPIVOTDATA("Weight(LBS)",$A$38,"Bar Dia",5)</f>
        <v>100816.42563124999</v>
      </c>
    </row>
    <row r="169" spans="1:8">
      <c r="A169" s="173" t="s">
        <v>575</v>
      </c>
      <c r="B169" s="170">
        <f>GETPIVOTDATA("Weight(LBS)",$A$141,"Bar Dia",6)+GETPIVOTDATA("Weight(LBS)",$A$115,"Bar Dia",6)+GETPIVOTDATA("Weight(LBS)",$A$93,"Bar Dia",6)+GETPIVOTDATA("Weight(LBS)",$A$38,"Bar Dia",6)+GETPIVOTDATA("Weight(LBS)",$A$27,"Bar Dia",6)</f>
        <v>84603.981977500007</v>
      </c>
    </row>
    <row r="170" spans="1:8">
      <c r="A170" s="173" t="s">
        <v>576</v>
      </c>
      <c r="B170" s="170">
        <f>GETPIVOTDATA("Weight(LBS)",$A$141,"Bar Dia",7)+GETPIVOTDATA("Weight(LBS)",$A$127,"Bar Dia",7)+GETPIVOTDATA("Weight(LBS)",$A$115,"Bar Dia",7)+GETPIVOTDATA("Weight(LBS)",$A$105,"Bar Dia",7)+GETPIVOTDATA("Weight(LBS)",$A$93,"Bar Dia",7)+GETPIVOTDATA("Weight(LBS)",$A$81,"Bar Dia",7)+GETPIVOTDATA("Weight(LBS)",$A$69,"Bar Dia",7)+GETPIVOTDATA("Weight(LBS)",$A$50,"Bar Dia",7)+GETPIVOTDATA("Weight(LBS)",$A$38,"Bar Dia",7)+GETPIVOTDATA("Weight(LBS)",$A$27,"Bar Dia",7)</f>
        <v>180397.84209719999</v>
      </c>
    </row>
    <row r="171" spans="1:8">
      <c r="A171" s="173" t="s">
        <v>577</v>
      </c>
      <c r="B171" s="170">
        <f>GETPIVOTDATA("Weight(LBS)",$A$141,"Bar Dia",8)+GETPIVOTDATA("Weight(LBS)",$A$127,"Bar Dia",8)+GETPIVOTDATA("Weight(LBS)",$A$115,"Bar Dia",8)+GETPIVOTDATA("Weight(LBS)",$A$105,"Bar Dia",8)+GETPIVOTDATA("Weight(LBS)",$A$93,"Bar Dia",8)+GETPIVOTDATA("Weight(LBS)",$A$81,"Bar Dia",8)+GETPIVOTDATA("Weight(LBS)",$A$69,"Bar Dia",8)+GETPIVOTDATA("Weight(LBS)",$A$59,"Bar Dia",8)+GETPIVOTDATA("Weight(LBS)",$A$38,"Bar Dia",8)+GETPIVOTDATA("Weight(LBS)",$A$27,"Bar Dia",8)</f>
        <v>102496.2591735</v>
      </c>
    </row>
    <row r="172" spans="1:8">
      <c r="A172" s="173" t="s">
        <v>578</v>
      </c>
      <c r="B172" s="170">
        <f>GETPIVOTDATA("Weight(LBS)",$A$141,"Bar Dia",9)+GETPIVOTDATA("Weight(LBS)",$A$127,"Bar Dia",9)+GETPIVOTDATA("Weight(LBS)",$A$115,"Bar Dia",9)+GETPIVOTDATA("Weight(LBS)",$A$105,"Bar Dia",9)+GETPIVOTDATA("Weight(LBS)",$A$93,"Bar Dia",9)+GETPIVOTDATA("Weight(LBS)",$A$81,"Bar Dia",9)+GETPIVOTDATA("Weight(LBS)",$A$69,"Bar Dia",9)+GETPIVOTDATA("Weight(LBS)",$A$59,"Bar Dia",9)+GETPIVOTDATA("Weight(LBS)",$A$38,"Bar Dia",9)+GETPIVOTDATA("Weight(LBS)",$A$27,"Bar Dia",9)</f>
        <v>121227.46953999999</v>
      </c>
    </row>
    <row r="173" spans="1:8">
      <c r="A173" s="173" t="s">
        <v>579</v>
      </c>
      <c r="B173" s="170">
        <f>GETPIVOTDATA("Weight(LBS)",$A$141,"Bar Dia",10)+GETPIVOTDATA("Weight(LBS)",$A$127,"Bar Dia",10)+GETPIVOTDATA("Weight(LBS)",$A$81,"Bar Dia",10)+GETPIVOTDATA("Weight(LBS)",$A$59,"Bar Dia",10)+GETPIVOTDATA("Weight(LBS)",$A$27,"Bar Dia",10)</f>
        <v>25524.298734999993</v>
      </c>
    </row>
    <row r="174" spans="1:8">
      <c r="A174" s="173" t="s">
        <v>580</v>
      </c>
      <c r="B174" s="170">
        <f>GETPIVOTDATA("Weight(LBS)",$A$127,"Bar Dia",11)</f>
        <v>3569.9109599999997</v>
      </c>
    </row>
    <row r="175" spans="1:8">
      <c r="A175" s="173" t="s">
        <v>581</v>
      </c>
      <c r="B175" s="170"/>
    </row>
    <row r="176" spans="1:8">
      <c r="A176" s="169" t="s">
        <v>582</v>
      </c>
      <c r="B176" s="171">
        <f>SUM(B165:B175)</f>
        <v>713938.26936244988</v>
      </c>
    </row>
    <row r="177" spans="1:8">
      <c r="B177" s="168"/>
    </row>
    <row r="179" spans="1:8">
      <c r="A179" s="208" t="s">
        <v>587</v>
      </c>
      <c r="B179" s="208"/>
      <c r="C179" s="208"/>
      <c r="D179" s="208"/>
      <c r="E179" s="208"/>
      <c r="F179" s="208"/>
      <c r="G179" s="208"/>
      <c r="H179" s="208"/>
    </row>
    <row r="180" spans="1:8">
      <c r="A180" s="169" t="s">
        <v>47</v>
      </c>
      <c r="B180" s="169" t="s">
        <v>65</v>
      </c>
      <c r="C180" s="169" t="s">
        <v>57</v>
      </c>
      <c r="D180" s="169" t="s">
        <v>61</v>
      </c>
      <c r="E180" s="180" t="s">
        <v>538</v>
      </c>
    </row>
    <row r="181" spans="1:8">
      <c r="A181" s="173" t="s">
        <v>571</v>
      </c>
      <c r="B181" s="170"/>
      <c r="C181" s="170"/>
      <c r="D181" s="170"/>
      <c r="E181" s="183">
        <f t="shared" ref="E181:E191" si="0">SUM(B181:D181)</f>
        <v>0</v>
      </c>
    </row>
    <row r="182" spans="1:8">
      <c r="A182" s="173" t="s">
        <v>572</v>
      </c>
      <c r="B182" s="170">
        <v>11406.712</v>
      </c>
      <c r="C182" s="170">
        <v>141.66551999999999</v>
      </c>
      <c r="D182" s="170"/>
      <c r="E182" s="183">
        <f t="shared" si="0"/>
        <v>11548.37752</v>
      </c>
    </row>
    <row r="183" spans="1:8">
      <c r="A183" s="173" t="s">
        <v>573</v>
      </c>
      <c r="B183" s="170">
        <v>21488.456463999999</v>
      </c>
      <c r="C183" s="170">
        <v>7088.4472640000004</v>
      </c>
      <c r="D183" s="170">
        <v>55176.800000000003</v>
      </c>
      <c r="E183" s="183">
        <f t="shared" si="0"/>
        <v>83753.703727999993</v>
      </c>
    </row>
    <row r="184" spans="1:8">
      <c r="A184" s="173" t="s">
        <v>574</v>
      </c>
      <c r="B184" s="170">
        <v>35489.974824500001</v>
      </c>
      <c r="C184" s="170">
        <v>61321.330806749997</v>
      </c>
      <c r="D184" s="170">
        <v>4005.12</v>
      </c>
      <c r="E184" s="183">
        <f t="shared" si="0"/>
        <v>100816.42563124999</v>
      </c>
    </row>
    <row r="185" spans="1:8">
      <c r="A185" s="173" t="s">
        <v>575</v>
      </c>
      <c r="B185" s="170">
        <v>8668.4002270000001</v>
      </c>
      <c r="C185" s="170">
        <v>75034.381750500004</v>
      </c>
      <c r="D185" s="170">
        <v>901.2</v>
      </c>
      <c r="E185" s="183">
        <f t="shared" si="0"/>
        <v>84603.981977500007</v>
      </c>
    </row>
    <row r="186" spans="1:8">
      <c r="A186" s="173" t="s">
        <v>576</v>
      </c>
      <c r="B186" s="170">
        <v>18586.104264000001</v>
      </c>
      <c r="C186" s="170">
        <v>161811.73783319999</v>
      </c>
      <c r="D186" s="170"/>
      <c r="E186" s="183">
        <f t="shared" si="0"/>
        <v>180397.84209719999</v>
      </c>
    </row>
    <row r="187" spans="1:8">
      <c r="A187" s="173" t="s">
        <v>577</v>
      </c>
      <c r="B187" s="170">
        <v>8919.6022499999999</v>
      </c>
      <c r="C187" s="170">
        <v>90479.456923499994</v>
      </c>
      <c r="D187" s="170">
        <v>3097.2</v>
      </c>
      <c r="E187" s="183">
        <f t="shared" si="0"/>
        <v>102496.25917349999</v>
      </c>
    </row>
    <row r="188" spans="1:8">
      <c r="A188" s="173" t="s">
        <v>578</v>
      </c>
      <c r="B188" s="170">
        <v>10351.674000000001</v>
      </c>
      <c r="C188" s="170">
        <v>108971.79554000001</v>
      </c>
      <c r="D188" s="170">
        <v>1904</v>
      </c>
      <c r="E188" s="183">
        <f t="shared" si="0"/>
        <v>121227.46954000001</v>
      </c>
    </row>
    <row r="189" spans="1:8">
      <c r="A189" s="173" t="s">
        <v>579</v>
      </c>
      <c r="B189" s="170">
        <v>5302.3072050000001</v>
      </c>
      <c r="C189" s="170">
        <v>13337.19153</v>
      </c>
      <c r="D189" s="170">
        <v>6884.8</v>
      </c>
      <c r="E189" s="183">
        <f t="shared" si="0"/>
        <v>25524.298735</v>
      </c>
    </row>
    <row r="190" spans="1:8">
      <c r="A190" s="173" t="s">
        <v>580</v>
      </c>
      <c r="B190" s="170">
        <v>1030.2969599999999</v>
      </c>
      <c r="C190" s="170">
        <v>2539.614</v>
      </c>
      <c r="D190" s="170"/>
      <c r="E190" s="183">
        <f t="shared" si="0"/>
        <v>3569.9109600000002</v>
      </c>
    </row>
    <row r="191" spans="1:8">
      <c r="A191" s="173" t="s">
        <v>581</v>
      </c>
      <c r="B191" s="170"/>
      <c r="C191" s="170"/>
      <c r="D191" s="170"/>
      <c r="E191" s="183">
        <f t="shared" si="0"/>
        <v>0</v>
      </c>
    </row>
    <row r="192" spans="1:8">
      <c r="A192" s="181" t="s">
        <v>588</v>
      </c>
      <c r="B192" s="182">
        <f>SUM(B181:B191)</f>
        <v>121243.5281945</v>
      </c>
      <c r="C192" s="182">
        <f>SUM(C181:C191)</f>
        <v>520725.62116794998</v>
      </c>
      <c r="D192" s="182">
        <f>SUM(D181:D191)</f>
        <v>71969.119999999995</v>
      </c>
      <c r="E192" s="182">
        <f>SUM(E181:E191)</f>
        <v>713938.26936244988</v>
      </c>
    </row>
    <row r="193" spans="1:8">
      <c r="A193" s="184"/>
      <c r="B193" s="185"/>
      <c r="C193" s="185"/>
      <c r="D193" s="185"/>
      <c r="E193" s="185"/>
      <c r="F193" s="2"/>
    </row>
    <row r="194" spans="1:8">
      <c r="A194" s="203" t="s">
        <v>589</v>
      </c>
      <c r="B194" s="203"/>
      <c r="C194" s="203"/>
      <c r="D194" s="203"/>
      <c r="E194" s="203"/>
      <c r="F194" s="203"/>
      <c r="G194" s="203"/>
      <c r="H194" s="203"/>
    </row>
    <row r="195" spans="1:8">
      <c r="A195" s="186" t="s">
        <v>590</v>
      </c>
      <c r="B195" s="186" t="s">
        <v>591</v>
      </c>
      <c r="C195" s="186" t="s">
        <v>592</v>
      </c>
      <c r="D195" s="186" t="s">
        <v>593</v>
      </c>
      <c r="E195" s="204" t="s">
        <v>594</v>
      </c>
      <c r="F195" s="205"/>
      <c r="G195" s="204" t="s">
        <v>595</v>
      </c>
      <c r="H195" s="205"/>
    </row>
    <row r="196" spans="1:8" ht="35.1" customHeight="1">
      <c r="A196" s="187" t="s">
        <v>596</v>
      </c>
      <c r="B196" s="188" t="s">
        <v>597</v>
      </c>
      <c r="C196" s="188">
        <f>TRUNC(17678/16+1.9)-1</f>
        <v>1105</v>
      </c>
      <c r="D196" s="189" t="s">
        <v>598</v>
      </c>
      <c r="E196" s="199" t="s">
        <v>599</v>
      </c>
      <c r="F196" s="199"/>
      <c r="G196" s="200" t="s">
        <v>600</v>
      </c>
      <c r="H196" s="200"/>
    </row>
    <row r="197" spans="1:8" ht="39.75" customHeight="1">
      <c r="A197" s="190" t="s">
        <v>601</v>
      </c>
      <c r="B197" s="191" t="s">
        <v>602</v>
      </c>
      <c r="C197" s="188">
        <f>160*2</f>
        <v>320</v>
      </c>
      <c r="D197" s="189" t="s">
        <v>603</v>
      </c>
      <c r="E197" s="199" t="s">
        <v>604</v>
      </c>
      <c r="F197" s="199"/>
      <c r="G197" s="200" t="s">
        <v>605</v>
      </c>
      <c r="H197" s="200"/>
    </row>
    <row r="198" spans="1:8" ht="36.6" customHeight="1">
      <c r="A198" s="192" t="s">
        <v>606</v>
      </c>
      <c r="B198" s="192" t="s">
        <v>607</v>
      </c>
      <c r="C198" s="193">
        <f>(TRUNC((SQRT(17820))/4)+1.9)*(SQRT(17820))+1</f>
        <v>4659.8558895934948</v>
      </c>
      <c r="D198" s="189" t="s">
        <v>603</v>
      </c>
      <c r="E198" s="199" t="s">
        <v>608</v>
      </c>
      <c r="F198" s="199"/>
      <c r="G198" s="200" t="s">
        <v>609</v>
      </c>
      <c r="H198" s="200"/>
    </row>
    <row r="199" spans="1:8" ht="36.6" customHeight="1">
      <c r="A199" s="190" t="s">
        <v>601</v>
      </c>
      <c r="B199" s="191" t="s">
        <v>602</v>
      </c>
      <c r="C199" s="188">
        <f>50*2</f>
        <v>100</v>
      </c>
      <c r="D199" s="189" t="s">
        <v>603</v>
      </c>
      <c r="E199" s="199" t="s">
        <v>604</v>
      </c>
      <c r="F199" s="199"/>
      <c r="G199" s="200" t="s">
        <v>610</v>
      </c>
      <c r="H199" s="200"/>
    </row>
    <row r="200" spans="1:8" s="44" customFormat="1" ht="36.6" customHeight="1">
      <c r="A200" s="194" t="s">
        <v>606</v>
      </c>
      <c r="B200" s="194" t="s">
        <v>611</v>
      </c>
      <c r="C200" s="193">
        <f>(TRUNC((SQRT(16620))/4)+1.9)*(SQRT(16620))</f>
        <v>4370.3398266038766</v>
      </c>
      <c r="D200" s="195" t="s">
        <v>603</v>
      </c>
      <c r="E200" s="201" t="s">
        <v>612</v>
      </c>
      <c r="F200" s="201"/>
      <c r="G200" s="200" t="s">
        <v>613</v>
      </c>
      <c r="H200" s="200"/>
    </row>
    <row r="201" spans="1:8" ht="36.6" customHeight="1">
      <c r="A201" s="190" t="s">
        <v>601</v>
      </c>
      <c r="B201" s="191" t="s">
        <v>602</v>
      </c>
      <c r="C201" s="188">
        <f>260*2</f>
        <v>520</v>
      </c>
      <c r="D201" s="189" t="s">
        <v>603</v>
      </c>
      <c r="E201" s="199" t="s">
        <v>604</v>
      </c>
      <c r="F201" s="199"/>
      <c r="G201" s="200" t="s">
        <v>614</v>
      </c>
      <c r="H201" s="200"/>
    </row>
    <row r="202" spans="1:8" ht="36.6" customHeight="1">
      <c r="A202" s="192" t="s">
        <v>606</v>
      </c>
      <c r="B202" s="191" t="s">
        <v>615</v>
      </c>
      <c r="C202" s="193">
        <f>(TRUNC((SQRT(16940))/4)+1.9)*(SQRT(16940))+3</f>
        <v>4415.2123022356936</v>
      </c>
      <c r="D202" s="189" t="s">
        <v>603</v>
      </c>
      <c r="E202" s="199" t="s">
        <v>616</v>
      </c>
      <c r="F202" s="199"/>
      <c r="G202" s="200" t="s">
        <v>617</v>
      </c>
      <c r="H202" s="200"/>
    </row>
  </sheetData>
  <mergeCells count="39">
    <mergeCell ref="A2:G2"/>
    <mergeCell ref="A3:G3"/>
    <mergeCell ref="A4:G4"/>
    <mergeCell ref="A8:H8"/>
    <mergeCell ref="B9:E9"/>
    <mergeCell ref="B10:E10"/>
    <mergeCell ref="B11:E11"/>
    <mergeCell ref="B12:E12"/>
    <mergeCell ref="B13:E13"/>
    <mergeCell ref="B14:E14"/>
    <mergeCell ref="B15:E15"/>
    <mergeCell ref="B16:E16"/>
    <mergeCell ref="A194:H194"/>
    <mergeCell ref="E195:F195"/>
    <mergeCell ref="G195:H195"/>
    <mergeCell ref="A179:H179"/>
    <mergeCell ref="B17:E17"/>
    <mergeCell ref="B18:E18"/>
    <mergeCell ref="B19:E19"/>
    <mergeCell ref="B20:E20"/>
    <mergeCell ref="B21:E21"/>
    <mergeCell ref="B22:E22"/>
    <mergeCell ref="A25:C25"/>
    <mergeCell ref="A23:C23"/>
    <mergeCell ref="A163:H163"/>
    <mergeCell ref="E196:F196"/>
    <mergeCell ref="G196:H196"/>
    <mergeCell ref="E197:F197"/>
    <mergeCell ref="G197:H197"/>
    <mergeCell ref="E198:F198"/>
    <mergeCell ref="G198:H198"/>
    <mergeCell ref="E202:F202"/>
    <mergeCell ref="G202:H202"/>
    <mergeCell ref="E199:F199"/>
    <mergeCell ref="G199:H199"/>
    <mergeCell ref="E200:F200"/>
    <mergeCell ref="G200:H200"/>
    <mergeCell ref="E201:F201"/>
    <mergeCell ref="G201:H201"/>
  </mergeCells>
  <printOptions horizontalCentered="1"/>
  <pageMargins left="0.5" right="0.5" top="0.8" bottom="0.5" header="0.3" footer="0.3"/>
  <pageSetup paperSize="9" scale="90" orientation="portrait" r:id="rId13"/>
  <headerFooter>
    <oddFooter>&amp;LSimsona Corp Estimation&amp;RPage &amp;P of &amp;N</oddFooter>
  </headerFooter>
  <rowBreaks count="3" manualBreakCount="3">
    <brk id="47" max="16383" man="1"/>
    <brk id="102" max="16383" man="1"/>
    <brk id="1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CL66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L38" sqref="L38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92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I66</f>
        <v>6.1087003199999987</v>
      </c>
      <c r="AK8" s="51" t="s">
        <v>52</v>
      </c>
    </row>
    <row r="9" spans="2:90" ht="12.75" customHeight="1">
      <c r="B9" s="26">
        <f>IF(B8="SL.NO",1,B8+1)</f>
        <v>1</v>
      </c>
      <c r="C9" s="21" t="s">
        <v>53</v>
      </c>
      <c r="D9" s="22"/>
      <c r="E9" s="23"/>
      <c r="F9" s="23"/>
      <c r="G9" s="24"/>
      <c r="H9" s="25"/>
      <c r="I9" s="55">
        <f t="shared" ref="I9:I61" si="0">IF(D9="",AK9*H9*E9,AK9*H9*E9*D9)</f>
        <v>0</v>
      </c>
      <c r="J9" s="56"/>
      <c r="AK9" s="44">
        <f t="shared" ref="AK9:AK11" si="1">IF(F9="",0,VLOOKUP(F9,$CI$15:$CJ$61,2,FALSE))</f>
        <v>0</v>
      </c>
    </row>
    <row r="10" spans="2:90" ht="12.75" customHeight="1">
      <c r="B10" s="26">
        <f t="shared" ref="B10:B61" si="2">IF(B9="SL.NO",1,B9+1)</f>
        <v>2</v>
      </c>
      <c r="C10" s="43" t="s">
        <v>54</v>
      </c>
      <c r="D10" s="22"/>
      <c r="E10" s="23"/>
      <c r="F10" s="23"/>
      <c r="G10" s="23"/>
      <c r="H10" s="25"/>
      <c r="I10" s="55">
        <f t="shared" si="0"/>
        <v>0</v>
      </c>
      <c r="J10" s="59"/>
      <c r="K10" s="4"/>
      <c r="L10" s="4"/>
      <c r="M10" s="4"/>
      <c r="N10" s="4"/>
      <c r="O10" s="4"/>
      <c r="P10" s="4"/>
      <c r="Q10" s="4"/>
      <c r="AK10" s="44">
        <f t="shared" si="1"/>
        <v>0</v>
      </c>
    </row>
    <row r="11" spans="2:90" ht="12.75" customHeight="1">
      <c r="B11" s="26">
        <f t="shared" si="2"/>
        <v>3</v>
      </c>
      <c r="C11" s="28" t="s">
        <v>55</v>
      </c>
      <c r="D11" s="29"/>
      <c r="E11" s="29"/>
      <c r="F11" s="29"/>
      <c r="G11" s="29"/>
      <c r="H11" s="30"/>
      <c r="I11" s="55">
        <f t="shared" si="0"/>
        <v>0</v>
      </c>
      <c r="J11" s="59"/>
      <c r="K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31" t="s">
        <v>56</v>
      </c>
      <c r="D12" s="29">
        <v>3</v>
      </c>
      <c r="E12" s="29">
        <v>5</v>
      </c>
      <c r="F12" s="29">
        <v>6</v>
      </c>
      <c r="G12" s="161" t="s">
        <v>57</v>
      </c>
      <c r="H12" s="30">
        <v>7.17</v>
      </c>
      <c r="I12" s="55">
        <f t="shared" si="0"/>
        <v>161.5401</v>
      </c>
      <c r="J12" s="59"/>
      <c r="K12" s="4"/>
      <c r="M12" s="4"/>
      <c r="N12" s="4"/>
      <c r="O12" s="5"/>
      <c r="P12" s="4"/>
      <c r="Q12" s="4"/>
      <c r="AK12" s="44">
        <f t="shared" ref="AK12:AK65" si="3">IF(F12="",0,VLOOKUP(F12,$CI$15:$CJ$61,2,FALSE))</f>
        <v>1.502</v>
      </c>
    </row>
    <row r="13" spans="2:90" ht="12.75" customHeight="1" thickBot="1">
      <c r="B13" s="26">
        <f t="shared" si="2"/>
        <v>5</v>
      </c>
      <c r="C13" s="31" t="s">
        <v>58</v>
      </c>
      <c r="D13" s="29">
        <v>3</v>
      </c>
      <c r="E13" s="29">
        <v>9</v>
      </c>
      <c r="F13" s="29">
        <v>6</v>
      </c>
      <c r="G13" s="161" t="s">
        <v>57</v>
      </c>
      <c r="H13" s="30">
        <v>3.67</v>
      </c>
      <c r="I13" s="55">
        <f t="shared" si="0"/>
        <v>148.83318</v>
      </c>
      <c r="J13" s="59"/>
      <c r="K13" s="4"/>
      <c r="L13" s="4"/>
      <c r="M13" s="4"/>
      <c r="N13" s="4"/>
      <c r="O13" s="4"/>
      <c r="P13" s="4"/>
      <c r="Q13" s="4"/>
      <c r="AK13" s="44">
        <f t="shared" si="3"/>
        <v>1.502</v>
      </c>
    </row>
    <row r="14" spans="2:90" ht="12.75" customHeight="1">
      <c r="B14" s="26">
        <f t="shared" si="2"/>
        <v>6</v>
      </c>
      <c r="C14" s="32" t="s">
        <v>59</v>
      </c>
      <c r="D14" s="29"/>
      <c r="E14" s="29"/>
      <c r="F14" s="29"/>
      <c r="G14" s="161"/>
      <c r="H14" s="30"/>
      <c r="I14" s="55">
        <f t="shared" si="0"/>
        <v>0</v>
      </c>
      <c r="J14" s="59"/>
      <c r="K14" s="4"/>
      <c r="L14" s="4"/>
      <c r="M14" s="4"/>
      <c r="N14" s="4"/>
      <c r="O14" s="4"/>
      <c r="P14" s="4"/>
      <c r="Q14" s="4"/>
      <c r="AK14" s="44">
        <f t="shared" si="3"/>
        <v>0</v>
      </c>
      <c r="CI14" s="60" t="s">
        <v>47</v>
      </c>
      <c r="CJ14" s="61" t="s">
        <v>52</v>
      </c>
      <c r="CL14" s="5" t="s">
        <v>61</v>
      </c>
    </row>
    <row r="15" spans="2:90" ht="12.75" customHeight="1">
      <c r="B15" s="26">
        <f t="shared" si="2"/>
        <v>7</v>
      </c>
      <c r="C15" s="33" t="s">
        <v>60</v>
      </c>
      <c r="D15" s="29">
        <v>2</v>
      </c>
      <c r="E15" s="29">
        <v>8</v>
      </c>
      <c r="F15" s="29">
        <v>6</v>
      </c>
      <c r="G15" s="161" t="s">
        <v>57</v>
      </c>
      <c r="H15" s="30">
        <v>6.67</v>
      </c>
      <c r="I15" s="55">
        <f t="shared" si="0"/>
        <v>160.29344</v>
      </c>
      <c r="J15" s="59"/>
      <c r="K15" s="4"/>
      <c r="L15" s="4"/>
      <c r="M15" s="4"/>
      <c r="N15" s="4"/>
      <c r="O15" s="62"/>
      <c r="P15" s="4"/>
      <c r="Q15" s="4"/>
      <c r="AK15" s="44">
        <f t="shared" si="3"/>
        <v>1.502</v>
      </c>
      <c r="CI15" s="63">
        <v>3</v>
      </c>
      <c r="CJ15" s="64">
        <v>0.376</v>
      </c>
      <c r="CL15" s="5" t="s">
        <v>57</v>
      </c>
    </row>
    <row r="16" spans="2:90" ht="12.75" customHeight="1">
      <c r="B16" s="26">
        <f t="shared" si="2"/>
        <v>8</v>
      </c>
      <c r="C16" s="28" t="s">
        <v>62</v>
      </c>
      <c r="D16" s="29"/>
      <c r="E16" s="29"/>
      <c r="F16" s="29"/>
      <c r="G16" s="161"/>
      <c r="H16" s="30"/>
      <c r="I16" s="55">
        <f t="shared" si="0"/>
        <v>0</v>
      </c>
      <c r="J16" s="59"/>
      <c r="K16" s="4"/>
      <c r="L16" s="4"/>
      <c r="M16" s="4"/>
      <c r="N16" s="4"/>
      <c r="O16" s="62"/>
      <c r="P16" s="4"/>
      <c r="Q16" s="4"/>
      <c r="AK16" s="44">
        <f t="shared" si="3"/>
        <v>0</v>
      </c>
      <c r="CI16" s="63" t="s">
        <v>64</v>
      </c>
      <c r="CJ16" s="64">
        <v>0.376</v>
      </c>
      <c r="CL16" s="5" t="s">
        <v>65</v>
      </c>
    </row>
    <row r="17" spans="2:90" ht="12.75" customHeight="1">
      <c r="B17" s="26">
        <f t="shared" si="2"/>
        <v>9</v>
      </c>
      <c r="C17" s="33" t="s">
        <v>63</v>
      </c>
      <c r="D17" s="29"/>
      <c r="E17" s="29">
        <v>8</v>
      </c>
      <c r="F17" s="29">
        <v>7</v>
      </c>
      <c r="G17" s="161" t="s">
        <v>57</v>
      </c>
      <c r="H17" s="30">
        <v>7.67</v>
      </c>
      <c r="I17" s="55">
        <f t="shared" si="0"/>
        <v>125.41984000000001</v>
      </c>
      <c r="J17" s="59"/>
      <c r="K17" s="4"/>
      <c r="L17" s="4"/>
      <c r="M17" s="4"/>
      <c r="N17" s="4"/>
      <c r="O17" s="62"/>
      <c r="P17" s="65"/>
      <c r="Q17" s="4"/>
      <c r="AK17" s="44">
        <f t="shared" si="3"/>
        <v>2.044</v>
      </c>
      <c r="CI17" s="63">
        <v>4</v>
      </c>
      <c r="CJ17" s="64">
        <v>0.66800000000000004</v>
      </c>
      <c r="CL17" s="5" t="s">
        <v>65</v>
      </c>
    </row>
    <row r="18" spans="2:90" ht="12.75" customHeight="1">
      <c r="B18" s="26">
        <f t="shared" si="2"/>
        <v>10</v>
      </c>
      <c r="C18" s="28" t="s">
        <v>66</v>
      </c>
      <c r="D18" s="29"/>
      <c r="E18" s="29"/>
      <c r="F18" s="29"/>
      <c r="G18" s="161"/>
      <c r="H18" s="30"/>
      <c r="I18" s="55">
        <f t="shared" si="0"/>
        <v>0</v>
      </c>
      <c r="J18" s="59"/>
      <c r="K18" s="4"/>
      <c r="L18" s="4"/>
      <c r="M18" s="4"/>
      <c r="N18" s="4"/>
      <c r="O18" s="62"/>
      <c r="P18" s="65"/>
      <c r="Q18" s="4"/>
      <c r="AK18" s="44">
        <f t="shared" si="3"/>
        <v>0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31" t="s">
        <v>67</v>
      </c>
      <c r="D19" s="29">
        <v>2</v>
      </c>
      <c r="E19" s="29">
        <v>9</v>
      </c>
      <c r="F19" s="29">
        <v>7</v>
      </c>
      <c r="G19" s="161" t="s">
        <v>57</v>
      </c>
      <c r="H19" s="30">
        <v>8.67</v>
      </c>
      <c r="I19" s="55">
        <f t="shared" si="0"/>
        <v>318.98663999999997</v>
      </c>
      <c r="J19" s="59"/>
      <c r="K19" s="4"/>
      <c r="L19" s="4"/>
      <c r="M19" s="16"/>
      <c r="N19" s="4"/>
      <c r="O19" s="62"/>
      <c r="P19" s="65"/>
      <c r="Q19" s="4"/>
      <c r="AK19" s="44">
        <f t="shared" si="3"/>
        <v>2.044</v>
      </c>
      <c r="CI19" s="63" t="s">
        <v>68</v>
      </c>
      <c r="CJ19" s="64">
        <v>0.66800000000000004</v>
      </c>
      <c r="CL19" s="5" t="s">
        <v>69</v>
      </c>
    </row>
    <row r="20" spans="2:90" ht="12.75" customHeight="1">
      <c r="B20" s="26">
        <f t="shared" si="2"/>
        <v>12</v>
      </c>
      <c r="C20" s="28" t="s">
        <v>70</v>
      </c>
      <c r="D20" s="35"/>
      <c r="E20" s="29"/>
      <c r="F20" s="36"/>
      <c r="G20" s="161"/>
      <c r="H20" s="30"/>
      <c r="I20" s="55">
        <f t="shared" si="0"/>
        <v>0</v>
      </c>
      <c r="J20" s="59"/>
      <c r="K20" s="4"/>
      <c r="L20" s="4"/>
      <c r="N20" s="4"/>
      <c r="O20" s="62"/>
      <c r="P20" s="4"/>
      <c r="Q20" s="4"/>
      <c r="AK20" s="44">
        <f t="shared" si="3"/>
        <v>0</v>
      </c>
      <c r="CI20" s="63">
        <v>5</v>
      </c>
      <c r="CJ20" s="64">
        <v>1.0429999999999999</v>
      </c>
      <c r="CL20" s="5" t="s">
        <v>71</v>
      </c>
    </row>
    <row r="21" spans="2:90" ht="12.75" customHeight="1">
      <c r="B21" s="26">
        <f t="shared" si="2"/>
        <v>13</v>
      </c>
      <c r="C21" s="33" t="s">
        <v>72</v>
      </c>
      <c r="D21" s="35">
        <v>4</v>
      </c>
      <c r="E21" s="29">
        <v>9</v>
      </c>
      <c r="F21" s="36">
        <v>8</v>
      </c>
      <c r="G21" s="161" t="s">
        <v>57</v>
      </c>
      <c r="H21" s="30">
        <v>9.67</v>
      </c>
      <c r="I21" s="55">
        <f t="shared" si="0"/>
        <v>929.48039999999992</v>
      </c>
      <c r="J21" s="59"/>
      <c r="K21" s="4"/>
      <c r="L21" s="4"/>
      <c r="M21" s="4"/>
      <c r="N21" s="4"/>
      <c r="O21" s="69"/>
      <c r="P21" s="4"/>
      <c r="Q21" s="4"/>
      <c r="AK21" s="44">
        <f t="shared" si="3"/>
        <v>2.67</v>
      </c>
      <c r="CI21" s="63" t="s">
        <v>73</v>
      </c>
      <c r="CJ21" s="64">
        <v>1.0429999999999999</v>
      </c>
      <c r="CL21" s="5" t="s">
        <v>74</v>
      </c>
    </row>
    <row r="22" spans="2:90" ht="12.75" customHeight="1">
      <c r="B22" s="26">
        <f t="shared" si="2"/>
        <v>14</v>
      </c>
      <c r="C22" s="28" t="s">
        <v>75</v>
      </c>
      <c r="D22" s="35"/>
      <c r="E22" s="29"/>
      <c r="F22" s="36"/>
      <c r="G22" s="161"/>
      <c r="H22" s="37"/>
      <c r="I22" s="55">
        <f t="shared" si="0"/>
        <v>0</v>
      </c>
      <c r="J22" s="59"/>
      <c r="K22" s="4"/>
      <c r="L22" s="4"/>
      <c r="M22" s="4"/>
      <c r="N22" s="4"/>
      <c r="O22" s="62"/>
      <c r="P22" s="4"/>
      <c r="Q22" s="4"/>
      <c r="AK22" s="44">
        <f t="shared" si="3"/>
        <v>0</v>
      </c>
      <c r="CI22" s="63">
        <v>6</v>
      </c>
      <c r="CJ22" s="71">
        <v>1.502</v>
      </c>
      <c r="CL22" s="5" t="s">
        <v>76</v>
      </c>
    </row>
    <row r="23" spans="2:90" ht="12.75" customHeight="1">
      <c r="B23" s="26">
        <v>15</v>
      </c>
      <c r="C23" s="33" t="s">
        <v>77</v>
      </c>
      <c r="D23" s="35">
        <v>7</v>
      </c>
      <c r="E23" s="29">
        <v>10</v>
      </c>
      <c r="F23" s="36">
        <v>8</v>
      </c>
      <c r="G23" s="161" t="s">
        <v>57</v>
      </c>
      <c r="H23" s="37">
        <v>10.67</v>
      </c>
      <c r="I23" s="55">
        <f t="shared" si="0"/>
        <v>1994.2229999999997</v>
      </c>
      <c r="J23" s="59"/>
      <c r="K23" s="4"/>
      <c r="L23" s="4"/>
      <c r="M23" s="4"/>
      <c r="N23" s="4"/>
      <c r="O23" s="62"/>
      <c r="P23" s="4"/>
      <c r="Q23" s="4"/>
      <c r="AK23" s="44">
        <f t="shared" si="3"/>
        <v>2.67</v>
      </c>
      <c r="CI23" s="63" t="s">
        <v>78</v>
      </c>
      <c r="CJ23" s="71">
        <v>1.502</v>
      </c>
      <c r="CL23" s="5" t="s">
        <v>79</v>
      </c>
    </row>
    <row r="24" spans="2:90" ht="12.75" customHeight="1">
      <c r="B24" s="26">
        <v>16</v>
      </c>
      <c r="C24" s="28" t="s">
        <v>80</v>
      </c>
      <c r="D24" s="35"/>
      <c r="E24" s="29"/>
      <c r="F24" s="36"/>
      <c r="G24" s="161"/>
      <c r="H24" s="37"/>
      <c r="I24" s="55">
        <f t="shared" si="0"/>
        <v>0</v>
      </c>
      <c r="J24" s="59"/>
      <c r="K24" s="4"/>
      <c r="L24" s="4"/>
      <c r="M24" s="4"/>
      <c r="N24" s="4"/>
      <c r="O24" s="62"/>
      <c r="P24" s="4"/>
      <c r="Q24" s="4"/>
      <c r="AK24" s="44">
        <f t="shared" si="3"/>
        <v>0</v>
      </c>
      <c r="CI24" s="63">
        <v>7</v>
      </c>
      <c r="CJ24" s="71">
        <v>2.044</v>
      </c>
      <c r="CL24" s="5" t="s">
        <v>81</v>
      </c>
    </row>
    <row r="25" spans="2:90" ht="12.75" customHeight="1">
      <c r="B25" s="26">
        <v>17</v>
      </c>
      <c r="C25" s="33" t="s">
        <v>82</v>
      </c>
      <c r="D25" s="35">
        <v>6</v>
      </c>
      <c r="E25" s="29">
        <v>11</v>
      </c>
      <c r="F25" s="36">
        <v>8</v>
      </c>
      <c r="G25" s="161" t="s">
        <v>57</v>
      </c>
      <c r="H25" s="37">
        <v>11.67</v>
      </c>
      <c r="I25" s="55">
        <f t="shared" si="0"/>
        <v>2056.4874</v>
      </c>
      <c r="J25" s="59"/>
      <c r="K25" s="4"/>
      <c r="L25" s="4"/>
      <c r="M25" s="4"/>
      <c r="N25" s="4"/>
      <c r="O25" s="4"/>
      <c r="P25" s="4"/>
      <c r="Q25" s="4"/>
      <c r="AK25" s="44">
        <f t="shared" si="3"/>
        <v>2.67</v>
      </c>
      <c r="CI25" s="63" t="s">
        <v>83</v>
      </c>
      <c r="CJ25" s="71">
        <v>2.044</v>
      </c>
    </row>
    <row r="26" spans="2:90" ht="12.75" customHeight="1">
      <c r="B26" s="26">
        <f t="shared" si="2"/>
        <v>18</v>
      </c>
      <c r="C26" s="101" t="s">
        <v>128</v>
      </c>
      <c r="D26" s="39"/>
      <c r="E26" s="39"/>
      <c r="F26" s="36"/>
      <c r="G26" s="165"/>
      <c r="H26" s="27"/>
      <c r="I26" s="55">
        <f t="shared" si="0"/>
        <v>0</v>
      </c>
      <c r="J26" s="59"/>
      <c r="K26" s="4"/>
      <c r="L26" s="4"/>
      <c r="M26" s="4"/>
      <c r="N26" s="4"/>
      <c r="O26" s="4"/>
      <c r="P26" s="4"/>
      <c r="Q26" s="4"/>
      <c r="AK26" s="44">
        <f t="shared" si="3"/>
        <v>0</v>
      </c>
      <c r="CI26" s="63">
        <v>8</v>
      </c>
      <c r="CJ26" s="71">
        <v>2.67</v>
      </c>
    </row>
    <row r="27" spans="2:90" ht="12.75" customHeight="1">
      <c r="B27" s="26">
        <f t="shared" si="2"/>
        <v>19</v>
      </c>
      <c r="C27" s="41" t="s">
        <v>129</v>
      </c>
      <c r="D27" s="39"/>
      <c r="E27" s="39">
        <v>6</v>
      </c>
      <c r="F27" s="36">
        <v>10</v>
      </c>
      <c r="G27" s="165" t="s">
        <v>65</v>
      </c>
      <c r="H27" s="27">
        <f t="shared" ref="H27:H32" si="4">4.5+3.33-0.25+2</f>
        <v>9.58</v>
      </c>
      <c r="I27" s="55">
        <f t="shared" si="0"/>
        <v>247.33644000000001</v>
      </c>
      <c r="J27" s="59"/>
      <c r="K27" s="72"/>
      <c r="L27" s="4"/>
      <c r="M27" s="4"/>
      <c r="N27" s="4"/>
      <c r="O27" s="4"/>
      <c r="P27" s="4"/>
      <c r="Q27" s="4"/>
      <c r="AK27" s="44">
        <f t="shared" si="3"/>
        <v>4.3029999999999999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41" t="s">
        <v>129</v>
      </c>
      <c r="D28" s="39"/>
      <c r="E28" s="39">
        <v>6</v>
      </c>
      <c r="F28" s="36">
        <v>10</v>
      </c>
      <c r="G28" s="165" t="s">
        <v>65</v>
      </c>
      <c r="H28" s="27">
        <f t="shared" si="4"/>
        <v>9.58</v>
      </c>
      <c r="I28" s="55">
        <f t="shared" si="0"/>
        <v>247.33644000000001</v>
      </c>
      <c r="J28" s="59"/>
      <c r="K28" s="4"/>
      <c r="L28" s="4"/>
      <c r="M28" s="4"/>
      <c r="N28" s="4"/>
      <c r="O28" s="4"/>
      <c r="P28" s="4"/>
      <c r="Q28" s="4"/>
      <c r="AK28" s="44">
        <f t="shared" si="3"/>
        <v>4.3029999999999999</v>
      </c>
      <c r="CI28" s="63" t="s">
        <v>84</v>
      </c>
      <c r="CJ28" s="71">
        <v>2.67</v>
      </c>
    </row>
    <row r="29" spans="2:90" ht="12.75" customHeight="1">
      <c r="B29" s="26">
        <f t="shared" si="2"/>
        <v>21</v>
      </c>
      <c r="C29" s="41" t="s">
        <v>129</v>
      </c>
      <c r="D29" s="39"/>
      <c r="E29" s="39">
        <v>6</v>
      </c>
      <c r="F29" s="36">
        <v>10</v>
      </c>
      <c r="G29" s="165" t="s">
        <v>65</v>
      </c>
      <c r="H29" s="27">
        <f t="shared" si="4"/>
        <v>9.58</v>
      </c>
      <c r="I29" s="55">
        <f t="shared" si="0"/>
        <v>247.33644000000001</v>
      </c>
      <c r="J29" s="59"/>
      <c r="K29" s="4"/>
      <c r="L29" s="4"/>
      <c r="M29" s="4"/>
      <c r="N29" s="4"/>
      <c r="O29" s="4"/>
      <c r="P29" s="4"/>
      <c r="Q29" s="4"/>
      <c r="AK29" s="44">
        <f t="shared" si="3"/>
        <v>4.3029999999999999</v>
      </c>
      <c r="CI29" s="63">
        <v>9</v>
      </c>
      <c r="CJ29" s="71">
        <v>3.4</v>
      </c>
    </row>
    <row r="30" spans="2:90" ht="12.75" customHeight="1">
      <c r="B30" s="26">
        <f t="shared" si="2"/>
        <v>22</v>
      </c>
      <c r="C30" s="41" t="s">
        <v>129</v>
      </c>
      <c r="D30" s="39"/>
      <c r="E30" s="39">
        <v>6</v>
      </c>
      <c r="F30" s="36">
        <v>10</v>
      </c>
      <c r="G30" s="165" t="s">
        <v>65</v>
      </c>
      <c r="H30" s="27">
        <f t="shared" si="4"/>
        <v>9.58</v>
      </c>
      <c r="I30" s="55">
        <f t="shared" si="0"/>
        <v>247.33644000000001</v>
      </c>
      <c r="J30" s="59"/>
      <c r="K30" s="4"/>
      <c r="L30" s="4"/>
      <c r="M30" s="4"/>
      <c r="N30" s="4"/>
      <c r="O30" s="4"/>
      <c r="P30" s="4"/>
      <c r="Q30" s="4"/>
      <c r="AK30" s="44">
        <f t="shared" si="3"/>
        <v>4.3029999999999999</v>
      </c>
      <c r="CI30" s="63" t="s">
        <v>85</v>
      </c>
      <c r="CJ30" s="71">
        <v>3.4</v>
      </c>
    </row>
    <row r="31" spans="2:90" ht="12.75" customHeight="1">
      <c r="B31" s="26">
        <v>22</v>
      </c>
      <c r="C31" s="41" t="s">
        <v>129</v>
      </c>
      <c r="D31" s="39"/>
      <c r="E31" s="39">
        <v>6</v>
      </c>
      <c r="F31" s="36">
        <v>10</v>
      </c>
      <c r="G31" s="165" t="s">
        <v>65</v>
      </c>
      <c r="H31" s="27">
        <f t="shared" si="4"/>
        <v>9.58</v>
      </c>
      <c r="I31" s="55">
        <f t="shared" si="0"/>
        <v>247.33644000000001</v>
      </c>
      <c r="J31" s="59"/>
      <c r="K31" s="4"/>
      <c r="L31" s="4"/>
      <c r="M31" s="4"/>
      <c r="N31" s="4"/>
      <c r="O31" s="4"/>
      <c r="P31" s="4"/>
      <c r="Q31" s="4"/>
      <c r="AK31" s="44">
        <f t="shared" si="3"/>
        <v>4.3029999999999999</v>
      </c>
      <c r="CI31" s="63">
        <v>10</v>
      </c>
      <c r="CJ31" s="71">
        <v>4.3029999999999999</v>
      </c>
    </row>
    <row r="32" spans="2:90" ht="12.75" customHeight="1">
      <c r="B32" s="26">
        <v>23</v>
      </c>
      <c r="C32" s="41" t="s">
        <v>129</v>
      </c>
      <c r="D32" s="39"/>
      <c r="E32" s="39">
        <v>6</v>
      </c>
      <c r="F32" s="36">
        <v>10</v>
      </c>
      <c r="G32" s="165" t="s">
        <v>65</v>
      </c>
      <c r="H32" s="27">
        <f t="shared" si="4"/>
        <v>9.58</v>
      </c>
      <c r="I32" s="55">
        <f t="shared" si="0"/>
        <v>247.33644000000001</v>
      </c>
      <c r="J32" s="59"/>
      <c r="K32" s="4"/>
      <c r="L32" s="4"/>
      <c r="M32" s="4"/>
      <c r="N32" s="4"/>
      <c r="O32" s="4"/>
      <c r="P32" s="4"/>
      <c r="Q32" s="4"/>
      <c r="AK32" s="44">
        <f t="shared" si="3"/>
        <v>4.3029999999999999</v>
      </c>
      <c r="CI32" s="63" t="s">
        <v>86</v>
      </c>
      <c r="CJ32" s="71">
        <v>4.3029999999999999</v>
      </c>
    </row>
    <row r="33" spans="2:88" ht="12.75" customHeight="1">
      <c r="B33" s="26">
        <v>24</v>
      </c>
      <c r="C33" s="41" t="s">
        <v>130</v>
      </c>
      <c r="D33" s="39"/>
      <c r="E33" s="39">
        <v>6</v>
      </c>
      <c r="F33" s="36">
        <v>9</v>
      </c>
      <c r="G33" s="165" t="s">
        <v>65</v>
      </c>
      <c r="H33" s="27">
        <f>4.5+2.66-0.25+2</f>
        <v>8.91</v>
      </c>
      <c r="I33" s="55">
        <f t="shared" si="0"/>
        <v>181.76400000000001</v>
      </c>
      <c r="J33" s="59"/>
      <c r="K33" s="4"/>
      <c r="L33" s="4"/>
      <c r="M33" s="4"/>
      <c r="N33" s="4"/>
      <c r="O33" s="4"/>
      <c r="P33" s="4"/>
      <c r="Q33" s="4"/>
      <c r="AK33" s="44">
        <f t="shared" si="3"/>
        <v>3.4</v>
      </c>
      <c r="CI33" s="63">
        <v>11</v>
      </c>
      <c r="CJ33" s="71">
        <v>5.3129999999999997</v>
      </c>
    </row>
    <row r="34" spans="2:88" ht="12.75" customHeight="1">
      <c r="B34" s="26">
        <f t="shared" ref="B34:B38" si="5">IF(B33="SL.NO",1,B33+1)</f>
        <v>25</v>
      </c>
      <c r="C34" s="41" t="s">
        <v>130</v>
      </c>
      <c r="D34" s="39"/>
      <c r="E34" s="39">
        <v>6</v>
      </c>
      <c r="F34" s="36">
        <v>9</v>
      </c>
      <c r="G34" s="165" t="s">
        <v>65</v>
      </c>
      <c r="H34" s="27">
        <f>4.5+2.66-0.25+2</f>
        <v>8.91</v>
      </c>
      <c r="I34" s="55">
        <f t="shared" si="0"/>
        <v>181.76400000000001</v>
      </c>
      <c r="J34" s="59"/>
      <c r="K34" s="4"/>
      <c r="L34" s="4"/>
      <c r="M34" s="4"/>
      <c r="N34" s="4"/>
      <c r="O34" s="4"/>
      <c r="P34" s="4"/>
      <c r="Q34" s="4"/>
      <c r="AK34" s="44">
        <f t="shared" si="3"/>
        <v>3.4</v>
      </c>
      <c r="CI34" s="63" t="s">
        <v>87</v>
      </c>
      <c r="CJ34" s="71">
        <v>5.3129999999999997</v>
      </c>
    </row>
    <row r="35" spans="2:88" ht="12.75" customHeight="1">
      <c r="B35" s="26">
        <f t="shared" si="5"/>
        <v>26</v>
      </c>
      <c r="C35" s="41" t="s">
        <v>130</v>
      </c>
      <c r="D35" s="39"/>
      <c r="E35" s="39">
        <v>6</v>
      </c>
      <c r="F35" s="36">
        <v>9</v>
      </c>
      <c r="G35" s="165" t="s">
        <v>65</v>
      </c>
      <c r="H35" s="27">
        <f>4.5+2.66-0.25+2</f>
        <v>8.91</v>
      </c>
      <c r="I35" s="55">
        <f t="shared" si="0"/>
        <v>181.76400000000001</v>
      </c>
      <c r="J35" s="59"/>
      <c r="K35" s="5"/>
      <c r="L35" s="4"/>
      <c r="M35" s="4"/>
      <c r="N35" s="4"/>
      <c r="O35" s="4"/>
      <c r="P35" s="4"/>
      <c r="Q35" s="4"/>
      <c r="AK35" s="44">
        <f t="shared" si="3"/>
        <v>3.4</v>
      </c>
      <c r="CI35" s="63" t="s">
        <v>87</v>
      </c>
      <c r="CJ35" s="71">
        <v>5.3129999999999997</v>
      </c>
    </row>
    <row r="36" spans="2:88" ht="12.75" customHeight="1">
      <c r="B36" s="26">
        <f t="shared" si="5"/>
        <v>27</v>
      </c>
      <c r="C36" s="41" t="s">
        <v>130</v>
      </c>
      <c r="D36" s="39"/>
      <c r="E36" s="39">
        <v>6</v>
      </c>
      <c r="F36" s="36">
        <v>9</v>
      </c>
      <c r="G36" s="165" t="s">
        <v>65</v>
      </c>
      <c r="H36" s="27">
        <f>4.5+2.66-0.25+2</f>
        <v>8.91</v>
      </c>
      <c r="I36" s="55">
        <f t="shared" si="0"/>
        <v>181.76400000000001</v>
      </c>
      <c r="J36" s="59"/>
      <c r="K36" s="4"/>
      <c r="L36" s="4"/>
      <c r="M36" s="4"/>
      <c r="N36" s="4"/>
      <c r="O36" s="4"/>
      <c r="P36" s="4"/>
      <c r="Q36" s="4"/>
      <c r="AK36" s="44">
        <f t="shared" si="3"/>
        <v>3.4</v>
      </c>
      <c r="CI36" s="63" t="s">
        <v>87</v>
      </c>
      <c r="CJ36" s="71">
        <v>5.3129999999999997</v>
      </c>
    </row>
    <row r="37" spans="2:88" ht="12.75" customHeight="1">
      <c r="B37" s="26">
        <f>IF(B36="SL.NO",1,B36+1)</f>
        <v>28</v>
      </c>
      <c r="C37" s="41" t="s">
        <v>130</v>
      </c>
      <c r="D37" s="39"/>
      <c r="E37" s="39">
        <v>6</v>
      </c>
      <c r="F37" s="36">
        <v>9</v>
      </c>
      <c r="G37" s="165" t="s">
        <v>65</v>
      </c>
      <c r="H37" s="27">
        <f>4.5+2.66-0.25+2</f>
        <v>8.91</v>
      </c>
      <c r="I37" s="55">
        <f t="shared" si="0"/>
        <v>181.76400000000001</v>
      </c>
      <c r="J37" s="59"/>
      <c r="K37" s="4"/>
      <c r="L37" s="4"/>
      <c r="M37" s="4"/>
      <c r="N37" s="4"/>
      <c r="O37" s="4"/>
      <c r="P37" s="4"/>
      <c r="Q37" s="4"/>
      <c r="AK37" s="44">
        <f t="shared" si="3"/>
        <v>3.4</v>
      </c>
      <c r="CI37" s="63" t="s">
        <v>87</v>
      </c>
      <c r="CJ37" s="71">
        <v>5.3129999999999997</v>
      </c>
    </row>
    <row r="38" spans="2:88" ht="12.75" customHeight="1">
      <c r="B38" s="26">
        <f t="shared" si="5"/>
        <v>29</v>
      </c>
      <c r="C38" s="41" t="s">
        <v>130</v>
      </c>
      <c r="D38" s="39"/>
      <c r="E38" s="39">
        <v>6</v>
      </c>
      <c r="F38" s="36">
        <v>9</v>
      </c>
      <c r="G38" s="165" t="s">
        <v>65</v>
      </c>
      <c r="H38" s="27">
        <f>4.5+2.33-0.25+2</f>
        <v>8.58</v>
      </c>
      <c r="I38" s="55">
        <f t="shared" si="0"/>
        <v>175.03200000000001</v>
      </c>
      <c r="J38" s="59"/>
      <c r="K38" s="4"/>
      <c r="L38" s="4"/>
      <c r="M38" s="4"/>
      <c r="N38" s="4"/>
      <c r="O38" s="4"/>
      <c r="P38" s="4"/>
      <c r="Q38" s="4"/>
      <c r="AK38" s="44">
        <f t="shared" si="3"/>
        <v>3.4</v>
      </c>
      <c r="CI38" s="63" t="s">
        <v>87</v>
      </c>
      <c r="CJ38" s="71">
        <v>5.3129999999999997</v>
      </c>
    </row>
    <row r="39" spans="2:88" ht="12.75" customHeight="1" thickBot="1">
      <c r="B39" s="26">
        <v>29</v>
      </c>
      <c r="C39" s="41" t="s">
        <v>130</v>
      </c>
      <c r="D39" s="39"/>
      <c r="E39" s="39">
        <v>6</v>
      </c>
      <c r="F39" s="36">
        <v>9</v>
      </c>
      <c r="G39" s="165" t="s">
        <v>65</v>
      </c>
      <c r="H39" s="27">
        <f>4.5+2.33-0.25+2</f>
        <v>8.58</v>
      </c>
      <c r="I39" s="55">
        <f t="shared" si="0"/>
        <v>175.03200000000001</v>
      </c>
      <c r="J39" s="59"/>
      <c r="K39" s="4"/>
      <c r="L39" s="4"/>
      <c r="M39" s="4"/>
      <c r="N39" s="4"/>
      <c r="O39" s="4"/>
      <c r="P39" s="4"/>
      <c r="Q39" s="4"/>
      <c r="AK39" s="44">
        <f t="shared" si="3"/>
        <v>3.4</v>
      </c>
      <c r="CI39" s="78">
        <v>2</v>
      </c>
      <c r="CJ39" s="79">
        <v>0.17</v>
      </c>
    </row>
    <row r="40" spans="2:88" ht="12.75" customHeight="1">
      <c r="B40" s="26">
        <v>30</v>
      </c>
      <c r="C40" s="41" t="s">
        <v>130</v>
      </c>
      <c r="D40" s="39"/>
      <c r="E40" s="39">
        <v>6</v>
      </c>
      <c r="F40" s="36">
        <v>9</v>
      </c>
      <c r="G40" s="165" t="s">
        <v>65</v>
      </c>
      <c r="H40" s="27">
        <f t="shared" ref="H40:H45" si="6">4.5+3-0.25+2</f>
        <v>9.25</v>
      </c>
      <c r="I40" s="55">
        <f t="shared" si="0"/>
        <v>188.7</v>
      </c>
      <c r="J40" s="59"/>
      <c r="K40" s="4"/>
      <c r="L40" s="4"/>
      <c r="M40" s="4"/>
      <c r="N40" s="4"/>
      <c r="O40" s="4"/>
      <c r="P40" s="4"/>
      <c r="Q40" s="4"/>
      <c r="AK40" s="44">
        <f t="shared" si="3"/>
        <v>3.4</v>
      </c>
    </row>
    <row r="41" spans="2:88" ht="12.75" customHeight="1">
      <c r="B41" s="26">
        <v>31</v>
      </c>
      <c r="C41" s="41" t="s">
        <v>130</v>
      </c>
      <c r="D41" s="39"/>
      <c r="E41" s="39">
        <v>6</v>
      </c>
      <c r="F41" s="36">
        <v>9</v>
      </c>
      <c r="G41" s="165" t="s">
        <v>65</v>
      </c>
      <c r="H41" s="27">
        <f t="shared" si="6"/>
        <v>9.25</v>
      </c>
      <c r="I41" s="55">
        <f t="shared" si="0"/>
        <v>188.7</v>
      </c>
      <c r="J41" s="59"/>
      <c r="K41" s="4"/>
      <c r="L41" s="4"/>
      <c r="M41" s="4"/>
      <c r="N41" s="4"/>
      <c r="O41" s="4"/>
      <c r="P41" s="4"/>
      <c r="Q41" s="4"/>
      <c r="AK41" s="44">
        <f t="shared" si="3"/>
        <v>3.4</v>
      </c>
    </row>
    <row r="42" spans="2:88" ht="12.75" customHeight="1">
      <c r="B42" s="26">
        <v>32</v>
      </c>
      <c r="C42" s="41" t="s">
        <v>130</v>
      </c>
      <c r="D42" s="39"/>
      <c r="E42" s="39">
        <v>6</v>
      </c>
      <c r="F42" s="36">
        <v>9</v>
      </c>
      <c r="G42" s="165" t="s">
        <v>65</v>
      </c>
      <c r="H42" s="27">
        <f t="shared" si="6"/>
        <v>9.25</v>
      </c>
      <c r="I42" s="55">
        <f t="shared" si="0"/>
        <v>188.7</v>
      </c>
      <c r="J42" s="59"/>
      <c r="K42" s="4"/>
      <c r="L42" s="4"/>
      <c r="M42" s="4"/>
      <c r="N42" s="4"/>
      <c r="O42" s="4"/>
      <c r="P42" s="4"/>
      <c r="Q42" s="4"/>
      <c r="AK42" s="44">
        <f t="shared" si="3"/>
        <v>3.4</v>
      </c>
    </row>
    <row r="43" spans="2:88" ht="12.75" customHeight="1">
      <c r="B43" s="26">
        <f t="shared" ref="B43:B52" si="7">IF(B42="SL.NO",1,B42+1)</f>
        <v>33</v>
      </c>
      <c r="C43" s="41" t="s">
        <v>130</v>
      </c>
      <c r="D43" s="39">
        <v>2</v>
      </c>
      <c r="E43" s="39">
        <v>6</v>
      </c>
      <c r="F43" s="36">
        <v>9</v>
      </c>
      <c r="G43" s="165" t="s">
        <v>65</v>
      </c>
      <c r="H43" s="27">
        <f t="shared" si="6"/>
        <v>9.25</v>
      </c>
      <c r="I43" s="55">
        <f t="shared" si="0"/>
        <v>377.4</v>
      </c>
      <c r="J43" s="59"/>
      <c r="K43" s="4"/>
      <c r="L43" s="4"/>
      <c r="M43" s="4"/>
      <c r="N43" s="4"/>
      <c r="O43" s="4"/>
      <c r="P43" s="4"/>
      <c r="Q43" s="4"/>
      <c r="AK43" s="44">
        <f t="shared" si="3"/>
        <v>3.4</v>
      </c>
    </row>
    <row r="44" spans="2:88" ht="12.75" customHeight="1">
      <c r="B44" s="26">
        <f t="shared" si="7"/>
        <v>34</v>
      </c>
      <c r="C44" s="41" t="s">
        <v>130</v>
      </c>
      <c r="D44" s="39"/>
      <c r="E44" s="39">
        <v>6</v>
      </c>
      <c r="F44" s="36">
        <v>9</v>
      </c>
      <c r="G44" s="165" t="s">
        <v>65</v>
      </c>
      <c r="H44" s="27">
        <f t="shared" si="6"/>
        <v>9.25</v>
      </c>
      <c r="I44" s="55">
        <f t="shared" si="0"/>
        <v>188.7</v>
      </c>
      <c r="J44" s="59"/>
      <c r="K44" s="4"/>
      <c r="L44" s="4"/>
      <c r="M44" s="4"/>
      <c r="N44" s="4"/>
      <c r="O44" s="4"/>
      <c r="P44" s="4"/>
      <c r="Q44" s="4"/>
      <c r="AK44" s="44">
        <f t="shared" si="3"/>
        <v>3.4</v>
      </c>
    </row>
    <row r="45" spans="2:88" ht="12.75" customHeight="1">
      <c r="B45" s="26">
        <f t="shared" si="7"/>
        <v>35</v>
      </c>
      <c r="C45" s="41" t="s">
        <v>130</v>
      </c>
      <c r="D45" s="39"/>
      <c r="E45" s="39">
        <v>6</v>
      </c>
      <c r="F45" s="36">
        <v>9</v>
      </c>
      <c r="G45" s="165" t="s">
        <v>65</v>
      </c>
      <c r="H45" s="27">
        <f t="shared" si="6"/>
        <v>9.25</v>
      </c>
      <c r="I45" s="55">
        <f t="shared" si="0"/>
        <v>188.7</v>
      </c>
      <c r="J45" s="59"/>
      <c r="K45" s="4"/>
      <c r="L45" s="4"/>
      <c r="M45" s="4"/>
      <c r="N45" s="4"/>
      <c r="O45" s="4"/>
      <c r="P45" s="4"/>
      <c r="Q45" s="4"/>
      <c r="AK45" s="44">
        <f t="shared" si="3"/>
        <v>3.4</v>
      </c>
    </row>
    <row r="46" spans="2:88" ht="12.75" customHeight="1">
      <c r="B46" s="26">
        <f t="shared" si="7"/>
        <v>36</v>
      </c>
      <c r="C46" s="41" t="s">
        <v>130</v>
      </c>
      <c r="D46" s="39"/>
      <c r="E46" s="39">
        <v>6</v>
      </c>
      <c r="F46" s="36">
        <v>9</v>
      </c>
      <c r="G46" s="165" t="s">
        <v>65</v>
      </c>
      <c r="H46" s="27">
        <f>4.5+2.16-0.25+2</f>
        <v>8.41</v>
      </c>
      <c r="I46" s="55">
        <f t="shared" si="0"/>
        <v>171.56400000000002</v>
      </c>
      <c r="J46" s="59"/>
      <c r="K46" s="4"/>
      <c r="L46" s="4"/>
      <c r="M46" s="4"/>
      <c r="N46" s="4"/>
      <c r="O46" s="4"/>
      <c r="P46" s="4"/>
      <c r="Q46" s="4"/>
      <c r="AK46" s="44">
        <f t="shared" si="3"/>
        <v>3.4</v>
      </c>
    </row>
    <row r="47" spans="2:88" ht="12.75" customHeight="1">
      <c r="B47" s="26">
        <f t="shared" si="7"/>
        <v>37</v>
      </c>
      <c r="C47" s="41" t="s">
        <v>130</v>
      </c>
      <c r="D47" s="39">
        <v>2</v>
      </c>
      <c r="E47" s="39">
        <v>6</v>
      </c>
      <c r="F47" s="36">
        <v>9</v>
      </c>
      <c r="G47" s="165" t="s">
        <v>65</v>
      </c>
      <c r="H47" s="27">
        <f>4.5+2-0.25+2</f>
        <v>8.25</v>
      </c>
      <c r="I47" s="55">
        <f t="shared" si="0"/>
        <v>336.6</v>
      </c>
      <c r="J47" s="59"/>
      <c r="K47" s="4"/>
      <c r="L47" s="4"/>
      <c r="M47" s="34"/>
      <c r="N47" s="34"/>
      <c r="O47" s="4"/>
      <c r="P47" s="4"/>
      <c r="Q47" s="4"/>
      <c r="AK47" s="44">
        <f t="shared" si="3"/>
        <v>3.4</v>
      </c>
    </row>
    <row r="48" spans="2:88" ht="12.75" customHeight="1">
      <c r="B48" s="26">
        <f t="shared" si="7"/>
        <v>38</v>
      </c>
      <c r="C48" s="41" t="s">
        <v>130</v>
      </c>
      <c r="D48" s="39"/>
      <c r="E48" s="39">
        <v>6</v>
      </c>
      <c r="F48" s="36">
        <v>9</v>
      </c>
      <c r="G48" s="165" t="s">
        <v>65</v>
      </c>
      <c r="H48" s="27">
        <f>4.5+3.5-0.25+2</f>
        <v>9.75</v>
      </c>
      <c r="I48" s="55">
        <f t="shared" si="0"/>
        <v>198.89999999999998</v>
      </c>
      <c r="J48" s="59"/>
      <c r="K48" s="4"/>
      <c r="L48" s="16"/>
      <c r="M48" s="34"/>
      <c r="N48" s="34"/>
      <c r="O48" s="4"/>
      <c r="P48" s="4"/>
      <c r="Q48" s="4"/>
      <c r="AK48" s="44">
        <f t="shared" si="3"/>
        <v>3.4</v>
      </c>
    </row>
    <row r="49" spans="2:37" ht="12.75" customHeight="1">
      <c r="B49" s="26">
        <f t="shared" si="7"/>
        <v>39</v>
      </c>
      <c r="C49" s="41" t="s">
        <v>131</v>
      </c>
      <c r="D49" s="39"/>
      <c r="E49" s="39">
        <v>6</v>
      </c>
      <c r="F49" s="36">
        <v>8</v>
      </c>
      <c r="G49" s="165" t="s">
        <v>65</v>
      </c>
      <c r="H49" s="27">
        <f>4.5+3.5-0.25+2</f>
        <v>9.75</v>
      </c>
      <c r="I49" s="55">
        <f t="shared" si="0"/>
        <v>156.19499999999999</v>
      </c>
      <c r="J49" s="59"/>
      <c r="K49" s="4"/>
      <c r="L49" s="16"/>
      <c r="M49" s="34"/>
      <c r="N49" s="16"/>
      <c r="O49" s="4"/>
      <c r="P49" s="4"/>
      <c r="Q49" s="4"/>
      <c r="AK49" s="44">
        <f t="shared" si="3"/>
        <v>2.67</v>
      </c>
    </row>
    <row r="50" spans="2:37" ht="12.75" customHeight="1">
      <c r="B50" s="26">
        <f t="shared" si="7"/>
        <v>40</v>
      </c>
      <c r="C50" s="41" t="s">
        <v>131</v>
      </c>
      <c r="D50" s="39"/>
      <c r="E50" s="39">
        <v>6</v>
      </c>
      <c r="F50" s="36">
        <v>8</v>
      </c>
      <c r="G50" s="165" t="s">
        <v>65</v>
      </c>
      <c r="H50" s="27">
        <f>4.5+3.5-0.25+2</f>
        <v>9.75</v>
      </c>
      <c r="I50" s="55">
        <f t="shared" si="0"/>
        <v>156.19499999999999</v>
      </c>
      <c r="J50" s="59"/>
      <c r="K50" s="4"/>
      <c r="L50" s="16"/>
      <c r="M50" s="34"/>
      <c r="N50" s="34"/>
      <c r="O50" s="4"/>
      <c r="P50" s="4"/>
      <c r="Q50" s="4"/>
      <c r="AK50" s="44">
        <f t="shared" si="3"/>
        <v>2.67</v>
      </c>
    </row>
    <row r="51" spans="2:37" ht="12.75" customHeight="1">
      <c r="B51" s="26">
        <f t="shared" si="7"/>
        <v>41</v>
      </c>
      <c r="C51" s="41" t="s">
        <v>132</v>
      </c>
      <c r="D51" s="39">
        <v>2</v>
      </c>
      <c r="E51" s="39">
        <v>8</v>
      </c>
      <c r="F51" s="36">
        <v>8</v>
      </c>
      <c r="G51" s="165" t="s">
        <v>65</v>
      </c>
      <c r="H51" s="27">
        <f>4.5+2-0.25+1</f>
        <v>7.25</v>
      </c>
      <c r="I51" s="55">
        <f t="shared" si="0"/>
        <v>309.71999999999997</v>
      </c>
      <c r="J51" s="59"/>
      <c r="K51" s="4"/>
      <c r="L51" s="16"/>
      <c r="M51" s="34"/>
      <c r="N51" s="34"/>
      <c r="O51" s="4"/>
      <c r="P51" s="4"/>
      <c r="Q51" s="4"/>
      <c r="AK51" s="44">
        <f t="shared" si="3"/>
        <v>2.67</v>
      </c>
    </row>
    <row r="52" spans="2:37" ht="12.75" customHeight="1">
      <c r="B52" s="26">
        <f t="shared" si="7"/>
        <v>42</v>
      </c>
      <c r="C52" s="41" t="s">
        <v>132</v>
      </c>
      <c r="D52" s="39">
        <v>2</v>
      </c>
      <c r="E52" s="39">
        <v>8</v>
      </c>
      <c r="F52" s="36">
        <v>8</v>
      </c>
      <c r="G52" s="165" t="s">
        <v>65</v>
      </c>
      <c r="H52" s="27">
        <f>4.5+2-0.25+1</f>
        <v>7.25</v>
      </c>
      <c r="I52" s="55">
        <f t="shared" si="0"/>
        <v>309.71999999999997</v>
      </c>
      <c r="J52" s="59"/>
      <c r="K52" s="4"/>
      <c r="L52" s="16"/>
      <c r="M52" s="34"/>
      <c r="N52" s="34"/>
      <c r="O52" s="4"/>
      <c r="P52" s="4"/>
      <c r="Q52" s="4"/>
      <c r="AK52" s="44">
        <f t="shared" si="3"/>
        <v>2.67</v>
      </c>
    </row>
    <row r="53" spans="2:37" ht="12.75" customHeight="1">
      <c r="B53" s="26">
        <v>42</v>
      </c>
      <c r="C53" s="41" t="s">
        <v>132</v>
      </c>
      <c r="D53" s="39">
        <v>2</v>
      </c>
      <c r="E53" s="39">
        <v>8</v>
      </c>
      <c r="F53" s="36">
        <v>8</v>
      </c>
      <c r="G53" s="165" t="s">
        <v>65</v>
      </c>
      <c r="H53" s="27">
        <f>4.5+2-0.25+1</f>
        <v>7.25</v>
      </c>
      <c r="I53" s="55">
        <f t="shared" si="0"/>
        <v>309.71999999999997</v>
      </c>
      <c r="J53" s="59"/>
      <c r="K53" s="4"/>
      <c r="M53" s="4"/>
      <c r="N53" s="4"/>
      <c r="O53" s="4"/>
      <c r="P53" s="4"/>
      <c r="Q53" s="4"/>
      <c r="AK53" s="44">
        <f t="shared" si="3"/>
        <v>2.67</v>
      </c>
    </row>
    <row r="54" spans="2:37" ht="12.75" customHeight="1">
      <c r="B54" s="26">
        <v>43</v>
      </c>
      <c r="C54" s="41" t="s">
        <v>132</v>
      </c>
      <c r="D54" s="39">
        <v>2</v>
      </c>
      <c r="E54" s="39">
        <v>8</v>
      </c>
      <c r="F54" s="36">
        <v>8</v>
      </c>
      <c r="G54" s="165" t="s">
        <v>65</v>
      </c>
      <c r="H54" s="27">
        <f>4.5+2-0.25+1</f>
        <v>7.25</v>
      </c>
      <c r="I54" s="55">
        <f t="shared" si="0"/>
        <v>309.71999999999997</v>
      </c>
      <c r="J54" s="59"/>
      <c r="K54" s="4"/>
      <c r="L54" s="4"/>
      <c r="M54" s="4"/>
      <c r="N54" s="4"/>
      <c r="O54" s="4"/>
      <c r="P54" s="4"/>
      <c r="Q54" s="4"/>
      <c r="AK54" s="44">
        <f t="shared" si="3"/>
        <v>2.67</v>
      </c>
    </row>
    <row r="55" spans="2:37" ht="12.75" customHeight="1">
      <c r="B55" s="26">
        <f t="shared" ref="B55:B57" si="8">IF(B54="SL.NO",1,B54+1)</f>
        <v>44</v>
      </c>
      <c r="C55" s="41"/>
      <c r="D55" s="39"/>
      <c r="E55" s="39"/>
      <c r="F55" s="36"/>
      <c r="G55" s="165"/>
      <c r="H55" s="27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3"/>
        <v>0</v>
      </c>
    </row>
    <row r="56" spans="2:37" ht="12.75" customHeight="1">
      <c r="B56" s="26">
        <f t="shared" si="8"/>
        <v>45</v>
      </c>
      <c r="C56" s="41"/>
      <c r="D56" s="39"/>
      <c r="E56" s="39"/>
      <c r="F56" s="36"/>
      <c r="G56" s="165"/>
      <c r="H56" s="27"/>
      <c r="I56" s="55">
        <f t="shared" si="0"/>
        <v>0</v>
      </c>
      <c r="J56" s="59"/>
      <c r="L56" s="4"/>
      <c r="M56" s="4"/>
      <c r="N56" s="4"/>
      <c r="O56" s="4"/>
      <c r="P56" s="4"/>
      <c r="Q56" s="4"/>
      <c r="AK56" s="44">
        <f t="shared" si="3"/>
        <v>0</v>
      </c>
    </row>
    <row r="57" spans="2:37" ht="12.75" customHeight="1">
      <c r="B57" s="26">
        <f t="shared" si="8"/>
        <v>46</v>
      </c>
      <c r="C57" s="41"/>
      <c r="D57" s="39"/>
      <c r="E57" s="39"/>
      <c r="F57" s="36"/>
      <c r="G57" s="40"/>
      <c r="H57" s="27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3"/>
        <v>0</v>
      </c>
    </row>
    <row r="58" spans="2:37" ht="12.75" customHeight="1">
      <c r="B58" s="26">
        <f t="shared" si="2"/>
        <v>47</v>
      </c>
      <c r="C58" s="41"/>
      <c r="D58" s="39"/>
      <c r="E58" s="39"/>
      <c r="F58" s="36"/>
      <c r="G58" s="40"/>
      <c r="H58" s="27"/>
      <c r="I58" s="55">
        <f t="shared" si="0"/>
        <v>0</v>
      </c>
      <c r="J58" s="59"/>
      <c r="K58" s="4"/>
      <c r="L58" s="4"/>
      <c r="M58" s="4"/>
      <c r="N58" s="4"/>
      <c r="O58" s="4"/>
      <c r="P58" s="4"/>
      <c r="Q58" s="4"/>
      <c r="AK58" s="44">
        <f t="shared" si="3"/>
        <v>0</v>
      </c>
    </row>
    <row r="59" spans="2:37" ht="12.75" customHeight="1">
      <c r="B59" s="26">
        <f t="shared" si="2"/>
        <v>48</v>
      </c>
      <c r="C59" s="41"/>
      <c r="D59" s="39"/>
      <c r="E59" s="39"/>
      <c r="F59" s="36"/>
      <c r="G59" s="40"/>
      <c r="H59" s="27"/>
      <c r="I59" s="55">
        <f t="shared" si="0"/>
        <v>0</v>
      </c>
      <c r="J59" s="59"/>
      <c r="K59" s="4"/>
      <c r="L59" s="4"/>
      <c r="M59" s="4"/>
      <c r="N59" s="4"/>
      <c r="O59" s="4"/>
      <c r="P59" s="4"/>
      <c r="Q59" s="4"/>
      <c r="AK59" s="44">
        <f t="shared" si="3"/>
        <v>0</v>
      </c>
    </row>
    <row r="60" spans="2:37" ht="12.75" customHeight="1">
      <c r="B60" s="26">
        <f t="shared" si="2"/>
        <v>49</v>
      </c>
      <c r="C60" s="41"/>
      <c r="D60" s="39"/>
      <c r="E60" s="39"/>
      <c r="F60" s="36"/>
      <c r="G60" s="40"/>
      <c r="H60" s="27"/>
      <c r="I60" s="55">
        <f t="shared" si="0"/>
        <v>0</v>
      </c>
      <c r="J60" s="59"/>
      <c r="K60" s="4"/>
      <c r="L60" s="4"/>
      <c r="M60" s="4"/>
      <c r="N60" s="4"/>
      <c r="O60" s="4"/>
      <c r="P60" s="4"/>
      <c r="Q60" s="4"/>
      <c r="AK60" s="44">
        <f t="shared" si="3"/>
        <v>0</v>
      </c>
    </row>
    <row r="61" spans="2:37" ht="12.75" customHeight="1">
      <c r="B61" s="26">
        <f t="shared" si="2"/>
        <v>50</v>
      </c>
      <c r="C61" s="38"/>
      <c r="D61" s="39"/>
      <c r="E61" s="39"/>
      <c r="F61" s="36"/>
      <c r="G61" s="40"/>
      <c r="H61" s="27"/>
      <c r="I61" s="55">
        <f t="shared" si="0"/>
        <v>0</v>
      </c>
      <c r="J61" s="59"/>
      <c r="K61" s="4"/>
      <c r="L61" s="4"/>
      <c r="M61" s="4"/>
      <c r="N61" s="4"/>
      <c r="O61" s="4"/>
      <c r="P61" s="4"/>
      <c r="Q61" s="4"/>
      <c r="AK61" s="44">
        <f t="shared" si="3"/>
        <v>0</v>
      </c>
    </row>
    <row r="62" spans="2:37" ht="13.5" thickBot="1">
      <c r="G62" s="46"/>
      <c r="H62" s="88" t="s">
        <v>90</v>
      </c>
      <c r="I62" s="89">
        <f>SUM(I9:I61)</f>
        <v>12217.400639999998</v>
      </c>
      <c r="AK62" s="44">
        <f t="shared" si="3"/>
        <v>0</v>
      </c>
    </row>
    <row r="63" spans="2:37">
      <c r="I63" s="90"/>
      <c r="AK63" s="44">
        <f t="shared" si="3"/>
        <v>0</v>
      </c>
    </row>
    <row r="64" spans="2:37">
      <c r="AK64" s="44">
        <f t="shared" si="3"/>
        <v>0</v>
      </c>
    </row>
    <row r="65" spans="9:37">
      <c r="AK65" s="44">
        <f t="shared" si="3"/>
        <v>0</v>
      </c>
    </row>
    <row r="66" spans="9:37">
      <c r="I66" s="90">
        <f>I62/2000</f>
        <v>6.1087003199999987</v>
      </c>
    </row>
  </sheetData>
  <mergeCells count="4">
    <mergeCell ref="C1:H2"/>
    <mergeCell ref="D4:I4"/>
    <mergeCell ref="D5:I5"/>
    <mergeCell ref="D6:I6"/>
  </mergeCells>
  <dataValidations count="6">
    <dataValidation type="list" allowBlank="1" showInputMessage="1" showErrorMessage="1" sqref="J9:J61">
      <formula1>"A-615 GR-60,A-615 GR-40,A706 GR-60"</formula1>
    </dataValidation>
    <dataValidation type="list" allowBlank="1" showInputMessage="1" showErrorMessage="1" sqref="F9">
      <formula1>$CI$10:$CI$61</formula1>
    </dataValidation>
    <dataValidation type="list" allowBlank="1" showInputMessage="1" showErrorMessage="1" sqref="G9 G26:G61">
      <formula1>$CL$12:$CL$22</formula1>
    </dataValidation>
    <dataValidation type="list" allowBlank="1" showInputMessage="1" showErrorMessage="1" sqref="F10:F25">
      <formula1>$CI$17:$CI$39</formula1>
    </dataValidation>
    <dataValidation type="list" allowBlank="1" showInputMessage="1" showErrorMessage="1" sqref="G10:G25">
      <formula1>$CL$16:$CL$25</formula1>
    </dataValidation>
    <dataValidation type="list" allowBlank="1" showInputMessage="1" showErrorMessage="1" sqref="F26:F61">
      <formula1>$CI$10:$CI$104</formula1>
    </dataValidation>
  </dataValidations>
  <hyperlinks>
    <hyperlink ref="C12" r:id="rId1" display="11#8@ BOT EW"/>
  </hyperlinks>
  <printOptions horizontalCentered="1" verticalCentered="1"/>
  <pageMargins left="0.6" right="0.6" top="0" bottom="0.5" header="0.5" footer="0.5"/>
  <pageSetup paperSize="9" scale="90" orientation="portrait" r:id="rId2"/>
  <headerFooter alignWithMargins="0">
    <oddFooter>&amp;LSimsona Corp Estimation&amp;RPage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CM116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M23" sqref="M23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92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I116</f>
        <v>18.932573188000006</v>
      </c>
      <c r="AK8" s="51" t="s">
        <v>52</v>
      </c>
    </row>
    <row r="9" spans="2:90" ht="12.75" customHeight="1">
      <c r="B9" s="26">
        <f>IF(B8="SL.NO",1,B8+1)</f>
        <v>1</v>
      </c>
      <c r="C9" s="42" t="s">
        <v>94</v>
      </c>
      <c r="D9" s="52"/>
      <c r="E9" s="52"/>
      <c r="F9" s="53"/>
      <c r="G9" s="52"/>
      <c r="H9" s="54"/>
      <c r="I9" s="55">
        <f t="shared" ref="I9:I107" si="0">IF(D9="",AK9*H9*E9,AK9*H9*E9*D9)</f>
        <v>0</v>
      </c>
      <c r="J9" s="56"/>
      <c r="AK9" s="44">
        <f t="shared" ref="AK9:AK40" si="1">IF(F9="",0,VLOOKUP(F9,$CI$15:$CJ$111,2,FALSE))</f>
        <v>0</v>
      </c>
    </row>
    <row r="10" spans="2:90" ht="12.75" customHeight="1">
      <c r="B10" s="26">
        <f t="shared" ref="B10:B73" si="2">IF(B9="SL.NO",1,B9+1)</f>
        <v>2</v>
      </c>
      <c r="C10" s="23" t="s">
        <v>95</v>
      </c>
      <c r="D10" s="57"/>
      <c r="E10" s="57"/>
      <c r="F10" s="57"/>
      <c r="G10" s="57"/>
      <c r="H10" s="58"/>
      <c r="I10" s="55">
        <f t="shared" si="0"/>
        <v>0</v>
      </c>
      <c r="J10" s="59"/>
      <c r="K10" s="4"/>
      <c r="L10" s="4"/>
      <c r="M10" s="4"/>
      <c r="N10" s="4"/>
      <c r="O10" s="4"/>
      <c r="P10" s="4"/>
      <c r="Q10" s="4"/>
      <c r="AK10" s="44">
        <f t="shared" si="1"/>
        <v>0</v>
      </c>
    </row>
    <row r="11" spans="2:90" ht="12.75" customHeight="1">
      <c r="B11" s="26">
        <f t="shared" si="2"/>
        <v>3</v>
      </c>
      <c r="C11" s="23" t="s">
        <v>96</v>
      </c>
      <c r="D11" s="57"/>
      <c r="E11" s="57">
        <v>3</v>
      </c>
      <c r="F11" s="57">
        <v>5</v>
      </c>
      <c r="G11" s="92" t="s">
        <v>57</v>
      </c>
      <c r="H11" s="58">
        <f>15.667+2*3</f>
        <v>21.667000000000002</v>
      </c>
      <c r="I11" s="55">
        <f t="shared" si="0"/>
        <v>67.796042999999997</v>
      </c>
      <c r="J11" s="59"/>
      <c r="K11" s="4"/>
      <c r="M11" s="4"/>
      <c r="N11" s="4"/>
      <c r="O11" s="4"/>
      <c r="P11" s="4"/>
      <c r="Q11" s="4"/>
      <c r="AK11" s="44">
        <f t="shared" si="1"/>
        <v>1.0429999999999999</v>
      </c>
    </row>
    <row r="12" spans="2:90" ht="12.75" customHeight="1">
      <c r="B12" s="26">
        <f t="shared" si="2"/>
        <v>4</v>
      </c>
      <c r="C12" s="23" t="s">
        <v>97</v>
      </c>
      <c r="D12" s="57"/>
      <c r="E12" s="57">
        <f>TRUNC(15.667/1+1.9)</f>
        <v>17</v>
      </c>
      <c r="F12" s="57">
        <v>5</v>
      </c>
      <c r="G12" s="92" t="s">
        <v>57</v>
      </c>
      <c r="H12" s="58">
        <f>1.5-2*0.167</f>
        <v>1.1659999999999999</v>
      </c>
      <c r="I12" s="55">
        <f t="shared" si="0"/>
        <v>20.674346</v>
      </c>
      <c r="J12" s="59"/>
      <c r="K12" s="4"/>
      <c r="M12" s="4"/>
      <c r="N12" s="4"/>
      <c r="O12" s="5"/>
      <c r="P12" s="4"/>
      <c r="Q12" s="4"/>
      <c r="AK12" s="44">
        <f t="shared" si="1"/>
        <v>1.0429999999999999</v>
      </c>
    </row>
    <row r="13" spans="2:90" ht="12.75" customHeight="1" thickBot="1">
      <c r="B13" s="26">
        <f t="shared" si="2"/>
        <v>5</v>
      </c>
      <c r="C13" s="23" t="s">
        <v>98</v>
      </c>
      <c r="D13" s="57"/>
      <c r="E13" s="57"/>
      <c r="F13" s="57"/>
      <c r="G13" s="92"/>
      <c r="H13" s="58"/>
      <c r="I13" s="55">
        <f t="shared" si="0"/>
        <v>0</v>
      </c>
      <c r="J13" s="59"/>
      <c r="K13" s="4"/>
      <c r="L13" s="4"/>
      <c r="M13" s="4"/>
      <c r="N13" s="4"/>
      <c r="O13" s="4"/>
      <c r="P13" s="4"/>
      <c r="Q13" s="4"/>
      <c r="AK13" s="44">
        <f t="shared" si="1"/>
        <v>0</v>
      </c>
    </row>
    <row r="14" spans="2:90" ht="12.75" customHeight="1">
      <c r="B14" s="26">
        <f t="shared" si="2"/>
        <v>6</v>
      </c>
      <c r="C14" s="23" t="s">
        <v>96</v>
      </c>
      <c r="D14" s="57">
        <v>2</v>
      </c>
      <c r="E14" s="57">
        <f>TRUNC(2/1+1.9)</f>
        <v>3</v>
      </c>
      <c r="F14" s="57">
        <v>5</v>
      </c>
      <c r="G14" s="92" t="s">
        <v>61</v>
      </c>
      <c r="H14" s="58">
        <v>40</v>
      </c>
      <c r="I14" s="55">
        <f t="shared" si="0"/>
        <v>250.32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1.0429999999999999</v>
      </c>
      <c r="CI14" s="60" t="s">
        <v>47</v>
      </c>
      <c r="CJ14" s="61" t="s">
        <v>52</v>
      </c>
      <c r="CL14" s="5" t="s">
        <v>61</v>
      </c>
    </row>
    <row r="15" spans="2:90" ht="12.75" customHeight="1">
      <c r="B15" s="26">
        <f t="shared" si="2"/>
        <v>7</v>
      </c>
      <c r="C15" s="23" t="s">
        <v>91</v>
      </c>
      <c r="D15" s="57"/>
      <c r="E15" s="57">
        <f>TRUNC(2/1+1.9)</f>
        <v>3</v>
      </c>
      <c r="F15" s="57">
        <v>5</v>
      </c>
      <c r="G15" s="92" t="s">
        <v>57</v>
      </c>
      <c r="H15" s="58">
        <f>96.33-40*2+3*2</f>
        <v>22.33</v>
      </c>
      <c r="I15" s="55">
        <f t="shared" si="0"/>
        <v>69.870569999999987</v>
      </c>
      <c r="J15" s="59"/>
      <c r="K15" s="4"/>
      <c r="L15" s="4"/>
      <c r="M15" s="4"/>
      <c r="N15" s="4"/>
      <c r="O15" s="62"/>
      <c r="P15" s="4"/>
      <c r="Q15" s="4"/>
      <c r="AK15" s="44">
        <f t="shared" si="1"/>
        <v>1.0429999999999999</v>
      </c>
      <c r="CI15" s="63">
        <v>3</v>
      </c>
      <c r="CJ15" s="64">
        <v>0.376</v>
      </c>
      <c r="CL15" s="5" t="s">
        <v>57</v>
      </c>
    </row>
    <row r="16" spans="2:90" ht="12.75" customHeight="1">
      <c r="B16" s="26">
        <f t="shared" si="2"/>
        <v>8</v>
      </c>
      <c r="C16" s="23" t="s">
        <v>97</v>
      </c>
      <c r="D16" s="57"/>
      <c r="E16" s="57">
        <f>TRUNC(71.25/1+1.9)</f>
        <v>73</v>
      </c>
      <c r="F16" s="57">
        <v>5</v>
      </c>
      <c r="G16" s="92" t="s">
        <v>57</v>
      </c>
      <c r="H16" s="58">
        <f>2-2*0.167</f>
        <v>1.6659999999999999</v>
      </c>
      <c r="I16" s="55">
        <f t="shared" si="0"/>
        <v>126.84757399999998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1.0429999999999999</v>
      </c>
      <c r="CI16" s="63" t="s">
        <v>64</v>
      </c>
      <c r="CJ16" s="64">
        <v>0.376</v>
      </c>
      <c r="CL16" s="5" t="s">
        <v>65</v>
      </c>
    </row>
    <row r="17" spans="2:90" ht="12.75" customHeight="1">
      <c r="B17" s="26">
        <f t="shared" si="2"/>
        <v>9</v>
      </c>
      <c r="C17" s="23" t="s">
        <v>99</v>
      </c>
      <c r="D17" s="57"/>
      <c r="E17" s="57"/>
      <c r="F17" s="57"/>
      <c r="G17" s="92"/>
      <c r="H17" s="58"/>
      <c r="I17" s="55">
        <f t="shared" si="0"/>
        <v>0</v>
      </c>
      <c r="J17" s="59"/>
      <c r="K17" s="4"/>
      <c r="L17" s="4"/>
      <c r="M17" s="4"/>
      <c r="N17" s="4"/>
      <c r="O17" s="62"/>
      <c r="P17" s="65"/>
      <c r="Q17" s="4"/>
      <c r="AK17" s="44">
        <f t="shared" si="1"/>
        <v>0</v>
      </c>
      <c r="CI17" s="63">
        <v>4</v>
      </c>
      <c r="CJ17" s="64">
        <v>0.66800000000000004</v>
      </c>
      <c r="CL17" s="5" t="s">
        <v>65</v>
      </c>
    </row>
    <row r="18" spans="2:90" ht="12.75" customHeight="1">
      <c r="B18" s="26">
        <f t="shared" si="2"/>
        <v>10</v>
      </c>
      <c r="C18" s="23" t="s">
        <v>96</v>
      </c>
      <c r="D18" s="66">
        <v>1</v>
      </c>
      <c r="E18" s="57">
        <f>TRUNC(2.167/1+1.9)</f>
        <v>4</v>
      </c>
      <c r="F18" s="67">
        <v>5</v>
      </c>
      <c r="G18" s="92" t="s">
        <v>61</v>
      </c>
      <c r="H18" s="58">
        <v>40</v>
      </c>
      <c r="I18" s="55">
        <f t="shared" si="0"/>
        <v>166.88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1.0429999999999999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23" t="s">
        <v>91</v>
      </c>
      <c r="D19" s="66"/>
      <c r="E19" s="57"/>
      <c r="F19" s="67"/>
      <c r="G19" s="92" t="s">
        <v>57</v>
      </c>
      <c r="H19" s="58">
        <f>55.5-40*1+8*3</f>
        <v>39.5</v>
      </c>
      <c r="I19" s="55">
        <f t="shared" si="0"/>
        <v>0</v>
      </c>
      <c r="J19" s="59"/>
      <c r="K19" s="4"/>
      <c r="L19" s="4"/>
      <c r="M19" s="16"/>
      <c r="N19" s="4"/>
      <c r="O19" s="62"/>
      <c r="P19" s="65"/>
      <c r="Q19" s="4"/>
      <c r="AK19" s="44">
        <f t="shared" si="1"/>
        <v>0</v>
      </c>
      <c r="CI19" s="63" t="s">
        <v>68</v>
      </c>
      <c r="CJ19" s="64">
        <v>0.66800000000000004</v>
      </c>
      <c r="CL19" s="5" t="s">
        <v>69</v>
      </c>
    </row>
    <row r="20" spans="2:90" ht="12.75" customHeight="1">
      <c r="B20" s="26">
        <f t="shared" si="2"/>
        <v>12</v>
      </c>
      <c r="C20" s="23" t="s">
        <v>97</v>
      </c>
      <c r="D20" s="66"/>
      <c r="E20" s="57">
        <f>TRUNC(55.5/1.167+1.9)</f>
        <v>49</v>
      </c>
      <c r="F20" s="67">
        <v>5</v>
      </c>
      <c r="G20" s="92" t="s">
        <v>57</v>
      </c>
      <c r="H20" s="58">
        <f>2.75-2*0.167</f>
        <v>2.4159999999999999</v>
      </c>
      <c r="I20" s="55">
        <f t="shared" si="0"/>
        <v>123.47451199999999</v>
      </c>
      <c r="J20" s="59"/>
      <c r="K20" s="4"/>
      <c r="L20" s="4"/>
      <c r="N20" s="4"/>
      <c r="O20" s="62"/>
      <c r="P20" s="4"/>
      <c r="Q20" s="4"/>
      <c r="AK20" s="44">
        <f t="shared" si="1"/>
        <v>1.0429999999999999</v>
      </c>
      <c r="CI20" s="63">
        <v>5</v>
      </c>
      <c r="CJ20" s="64">
        <v>1.0429999999999999</v>
      </c>
      <c r="CL20" s="5" t="s">
        <v>71</v>
      </c>
    </row>
    <row r="21" spans="2:90" ht="12.75" customHeight="1">
      <c r="B21" s="26">
        <f t="shared" si="2"/>
        <v>13</v>
      </c>
      <c r="C21" s="23" t="s">
        <v>100</v>
      </c>
      <c r="D21" s="66"/>
      <c r="E21" s="57"/>
      <c r="F21" s="67"/>
      <c r="G21" s="92"/>
      <c r="H21" s="68"/>
      <c r="I21" s="55">
        <f t="shared" si="0"/>
        <v>0</v>
      </c>
      <c r="J21" s="59"/>
      <c r="K21" s="4"/>
      <c r="L21" s="4"/>
      <c r="M21" s="4"/>
      <c r="N21" s="4"/>
      <c r="O21" s="69"/>
      <c r="P21" s="4"/>
      <c r="Q21" s="4"/>
      <c r="AK21" s="44">
        <f t="shared" si="1"/>
        <v>0</v>
      </c>
      <c r="CI21" s="63" t="s">
        <v>73</v>
      </c>
      <c r="CJ21" s="64">
        <v>1.0429999999999999</v>
      </c>
      <c r="CL21" s="5" t="s">
        <v>74</v>
      </c>
    </row>
    <row r="22" spans="2:90" ht="12.75" customHeight="1">
      <c r="B22" s="26">
        <f t="shared" si="2"/>
        <v>14</v>
      </c>
      <c r="C22" s="70" t="s">
        <v>101</v>
      </c>
      <c r="D22" s="66"/>
      <c r="E22" s="57">
        <f>TRUNC(3/1+1.9)</f>
        <v>4</v>
      </c>
      <c r="F22" s="67">
        <v>5</v>
      </c>
      <c r="G22" s="92" t="s">
        <v>57</v>
      </c>
      <c r="H22" s="68">
        <v>40</v>
      </c>
      <c r="I22" s="55">
        <f t="shared" si="0"/>
        <v>166.88</v>
      </c>
      <c r="J22" s="59"/>
      <c r="K22" s="4"/>
      <c r="L22" s="4"/>
      <c r="M22" s="4"/>
      <c r="N22" s="4"/>
      <c r="O22" s="62"/>
      <c r="P22" s="4"/>
      <c r="Q22" s="4"/>
      <c r="AK22" s="44">
        <f t="shared" si="1"/>
        <v>1.0429999999999999</v>
      </c>
      <c r="CI22" s="63">
        <v>6</v>
      </c>
      <c r="CJ22" s="71">
        <v>1.502</v>
      </c>
      <c r="CL22" s="5" t="s">
        <v>76</v>
      </c>
    </row>
    <row r="23" spans="2:90" ht="12.75" customHeight="1">
      <c r="B23" s="26">
        <v>15</v>
      </c>
      <c r="C23" s="23" t="s">
        <v>91</v>
      </c>
      <c r="D23" s="66"/>
      <c r="E23" s="57"/>
      <c r="F23" s="67"/>
      <c r="G23" s="92" t="s">
        <v>57</v>
      </c>
      <c r="H23" s="68">
        <f>30.5-40*1+4*3</f>
        <v>2.5</v>
      </c>
      <c r="I23" s="55">
        <f t="shared" si="0"/>
        <v>0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0</v>
      </c>
      <c r="CI23" s="63" t="s">
        <v>78</v>
      </c>
      <c r="CJ23" s="71">
        <v>1.502</v>
      </c>
      <c r="CL23" s="5" t="s">
        <v>79</v>
      </c>
    </row>
    <row r="24" spans="2:90" ht="12.75" customHeight="1">
      <c r="B24" s="26">
        <v>16</v>
      </c>
      <c r="C24" s="70" t="s">
        <v>102</v>
      </c>
      <c r="D24" s="66"/>
      <c r="E24" s="57">
        <v>4</v>
      </c>
      <c r="F24" s="67">
        <v>5</v>
      </c>
      <c r="G24" s="92" t="s">
        <v>65</v>
      </c>
      <c r="H24" s="68">
        <v>6</v>
      </c>
      <c r="I24" s="55">
        <f t="shared" si="0"/>
        <v>25.031999999999996</v>
      </c>
      <c r="J24" s="59"/>
      <c r="K24" s="4"/>
      <c r="L24" s="4"/>
      <c r="M24" s="4"/>
      <c r="N24" s="4"/>
      <c r="O24" s="62"/>
      <c r="P24" s="4"/>
      <c r="Q24" s="4"/>
      <c r="AK24" s="44">
        <f t="shared" si="1"/>
        <v>1.0429999999999999</v>
      </c>
      <c r="CI24" s="63">
        <v>7</v>
      </c>
      <c r="CJ24" s="71">
        <v>2.044</v>
      </c>
      <c r="CL24" s="5" t="s">
        <v>81</v>
      </c>
    </row>
    <row r="25" spans="2:90" ht="12.75" customHeight="1">
      <c r="B25" s="26">
        <v>17</v>
      </c>
      <c r="C25" s="23" t="s">
        <v>97</v>
      </c>
      <c r="D25" s="66"/>
      <c r="E25" s="57">
        <f>TRUNC(30.583/1.167+1.9)</f>
        <v>28</v>
      </c>
      <c r="F25" s="67">
        <v>5</v>
      </c>
      <c r="G25" s="92" t="s">
        <v>57</v>
      </c>
      <c r="H25" s="68">
        <f>3-2*0.167</f>
        <v>2.6659999999999999</v>
      </c>
      <c r="I25" s="55">
        <f t="shared" si="0"/>
        <v>77.857863999999992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1.0429999999999999</v>
      </c>
      <c r="CI25" s="63" t="s">
        <v>83</v>
      </c>
      <c r="CJ25" s="71">
        <v>2.044</v>
      </c>
    </row>
    <row r="26" spans="2:90" ht="12.75" customHeight="1">
      <c r="B26" s="26">
        <f t="shared" si="2"/>
        <v>18</v>
      </c>
      <c r="C26" s="23" t="s">
        <v>103</v>
      </c>
      <c r="D26" s="66"/>
      <c r="E26" s="57"/>
      <c r="F26" s="67"/>
      <c r="G26" s="92"/>
      <c r="H26" s="68"/>
      <c r="I26" s="55">
        <f t="shared" si="0"/>
        <v>0</v>
      </c>
      <c r="J26" s="59"/>
      <c r="K26" s="4"/>
      <c r="L26" s="4"/>
      <c r="M26" s="4"/>
      <c r="N26" s="4"/>
      <c r="O26" s="4"/>
      <c r="P26" s="4"/>
      <c r="Q26" s="4"/>
      <c r="AK26" s="44">
        <f t="shared" si="1"/>
        <v>0</v>
      </c>
      <c r="CI26" s="63">
        <v>8</v>
      </c>
      <c r="CJ26" s="71">
        <v>2.67</v>
      </c>
    </row>
    <row r="27" spans="2:90" ht="12.75" customHeight="1">
      <c r="B27" s="26">
        <f t="shared" si="2"/>
        <v>19</v>
      </c>
      <c r="C27" s="70" t="s">
        <v>101</v>
      </c>
      <c r="D27" s="66"/>
      <c r="E27" s="57">
        <f>TRUNC(3.333/1+1.9)</f>
        <v>5</v>
      </c>
      <c r="F27" s="67">
        <v>5</v>
      </c>
      <c r="G27" s="92" t="s">
        <v>57</v>
      </c>
      <c r="H27" s="68">
        <f>15.667+2*3</f>
        <v>21.667000000000002</v>
      </c>
      <c r="I27" s="55">
        <f t="shared" si="0"/>
        <v>112.993405</v>
      </c>
      <c r="J27" s="59"/>
      <c r="K27" s="72"/>
      <c r="L27" s="4"/>
      <c r="M27" s="4"/>
      <c r="N27" s="4"/>
      <c r="O27" s="4"/>
      <c r="P27" s="4"/>
      <c r="Q27" s="4"/>
      <c r="AK27" s="44">
        <f t="shared" si="1"/>
        <v>1.0429999999999999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23" t="s">
        <v>97</v>
      </c>
      <c r="D28" s="66"/>
      <c r="E28" s="57">
        <f>TRUNC(15.667/1.323+1.9)</f>
        <v>13</v>
      </c>
      <c r="F28" s="67">
        <v>5</v>
      </c>
      <c r="G28" s="92" t="s">
        <v>57</v>
      </c>
      <c r="H28" s="68">
        <f>3.333-2*0.167</f>
        <v>2.9990000000000001</v>
      </c>
      <c r="I28" s="55">
        <f t="shared" si="0"/>
        <v>40.663440999999999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1.0429999999999999</v>
      </c>
      <c r="CI28" s="63" t="s">
        <v>84</v>
      </c>
      <c r="CJ28" s="71">
        <v>2.67</v>
      </c>
    </row>
    <row r="29" spans="2:90" ht="12.75" customHeight="1">
      <c r="B29" s="26">
        <f t="shared" si="2"/>
        <v>21</v>
      </c>
      <c r="C29" s="23" t="s">
        <v>104</v>
      </c>
      <c r="D29" s="66"/>
      <c r="E29" s="57"/>
      <c r="F29" s="67"/>
      <c r="G29" s="92"/>
      <c r="H29" s="68"/>
      <c r="I29" s="55">
        <f t="shared" si="0"/>
        <v>0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</v>
      </c>
      <c r="CI29" s="63">
        <v>9</v>
      </c>
      <c r="CJ29" s="71">
        <v>3.4</v>
      </c>
    </row>
    <row r="30" spans="2:90" ht="12.75" customHeight="1">
      <c r="B30" s="26">
        <f t="shared" si="2"/>
        <v>22</v>
      </c>
      <c r="C30" s="70" t="s">
        <v>101</v>
      </c>
      <c r="D30" s="66"/>
      <c r="E30" s="57">
        <f>TRUNC(3.5/1+1.9)</f>
        <v>5</v>
      </c>
      <c r="F30" s="67">
        <v>5</v>
      </c>
      <c r="G30" s="92" t="s">
        <v>57</v>
      </c>
      <c r="H30" s="68">
        <v>40</v>
      </c>
      <c r="I30" s="55">
        <f t="shared" si="0"/>
        <v>208.6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1.0429999999999999</v>
      </c>
      <c r="CI30" s="63" t="s">
        <v>85</v>
      </c>
      <c r="CJ30" s="71">
        <v>3.4</v>
      </c>
    </row>
    <row r="31" spans="2:90" ht="12.75" customHeight="1">
      <c r="B31" s="26">
        <v>22</v>
      </c>
      <c r="C31" s="23" t="s">
        <v>91</v>
      </c>
      <c r="D31" s="73"/>
      <c r="E31" s="57"/>
      <c r="F31" s="29"/>
      <c r="G31" s="92" t="s">
        <v>57</v>
      </c>
      <c r="H31" s="74">
        <f>206.92-40*5+10*3</f>
        <v>36.919999999999987</v>
      </c>
      <c r="I31" s="55">
        <f t="shared" si="0"/>
        <v>0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0</v>
      </c>
      <c r="CI31" s="63">
        <v>10</v>
      </c>
      <c r="CJ31" s="71">
        <v>4.3029999999999999</v>
      </c>
    </row>
    <row r="32" spans="2:90" ht="12.75" customHeight="1">
      <c r="B32" s="26">
        <v>23</v>
      </c>
      <c r="C32" s="23" t="s">
        <v>97</v>
      </c>
      <c r="D32" s="57"/>
      <c r="E32" s="57">
        <f>TRUNC(176.917/1.323+1.9)</f>
        <v>135</v>
      </c>
      <c r="F32" s="57">
        <v>5</v>
      </c>
      <c r="G32" s="92" t="s">
        <v>57</v>
      </c>
      <c r="H32" s="58">
        <f>3.5-2*0.167</f>
        <v>3.1659999999999999</v>
      </c>
      <c r="I32" s="55">
        <f t="shared" si="0"/>
        <v>445.78862999999996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1.0429999999999999</v>
      </c>
      <c r="CI32" s="63" t="s">
        <v>86</v>
      </c>
      <c r="CJ32" s="71">
        <v>4.3029999999999999</v>
      </c>
    </row>
    <row r="33" spans="2:91" ht="12.75" customHeight="1">
      <c r="B33" s="26">
        <v>24</v>
      </c>
      <c r="C33" s="70" t="s">
        <v>102</v>
      </c>
      <c r="D33" s="66"/>
      <c r="E33" s="57">
        <v>10</v>
      </c>
      <c r="F33" s="67">
        <v>5</v>
      </c>
      <c r="G33" s="92" t="s">
        <v>65</v>
      </c>
      <c r="H33" s="68">
        <v>6</v>
      </c>
      <c r="I33" s="55">
        <f t="shared" si="0"/>
        <v>62.579999999999991</v>
      </c>
      <c r="J33" s="59"/>
      <c r="K33" s="4"/>
      <c r="L33" s="4"/>
      <c r="M33" s="4"/>
      <c r="N33" s="4"/>
      <c r="O33" s="4"/>
      <c r="P33" s="4"/>
      <c r="Q33" s="4"/>
      <c r="AK33" s="44">
        <f t="shared" si="1"/>
        <v>1.0429999999999999</v>
      </c>
      <c r="CI33" s="63">
        <v>11</v>
      </c>
      <c r="CJ33" s="71">
        <v>5.3129999999999997</v>
      </c>
    </row>
    <row r="34" spans="2:91" ht="12.75" customHeight="1">
      <c r="B34" s="26">
        <f t="shared" ref="B34:B38" si="3">IF(B33="SL.NO",1,B33+1)</f>
        <v>25</v>
      </c>
      <c r="C34" s="23" t="s">
        <v>105</v>
      </c>
      <c r="D34" s="66"/>
      <c r="E34" s="57"/>
      <c r="F34" s="67"/>
      <c r="G34" s="92"/>
      <c r="H34" s="68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 t="s">
        <v>87</v>
      </c>
      <c r="CJ34" s="71">
        <v>5.3129999999999997</v>
      </c>
    </row>
    <row r="35" spans="2:91" ht="12.75" customHeight="1">
      <c r="B35" s="26">
        <f t="shared" si="3"/>
        <v>26</v>
      </c>
      <c r="C35" s="70" t="s">
        <v>101</v>
      </c>
      <c r="D35" s="66"/>
      <c r="E35" s="57">
        <f>TRUNC(3.667/1+1.9)</f>
        <v>5</v>
      </c>
      <c r="F35" s="67">
        <v>5</v>
      </c>
      <c r="G35" s="92" t="s">
        <v>57</v>
      </c>
      <c r="H35" s="68">
        <f>8.833+4*3</f>
        <v>20.832999999999998</v>
      </c>
      <c r="I35" s="55">
        <f t="shared" si="0"/>
        <v>108.64409499999999</v>
      </c>
      <c r="J35" s="59"/>
      <c r="K35" s="5"/>
      <c r="L35" s="4"/>
      <c r="M35" s="4"/>
      <c r="N35" s="4"/>
      <c r="O35" s="4"/>
      <c r="P35" s="4"/>
      <c r="Q35" s="4"/>
      <c r="AK35" s="44">
        <f t="shared" si="1"/>
        <v>1.0429999999999999</v>
      </c>
      <c r="CI35" s="63" t="s">
        <v>87</v>
      </c>
      <c r="CJ35" s="71">
        <v>5.3129999999999997</v>
      </c>
    </row>
    <row r="36" spans="2:91" ht="12.75" customHeight="1">
      <c r="B36" s="26">
        <f t="shared" si="3"/>
        <v>27</v>
      </c>
      <c r="C36" s="23" t="s">
        <v>97</v>
      </c>
      <c r="D36" s="66"/>
      <c r="E36" s="57">
        <f>TRUNC(8.5/1.323+1.9)</f>
        <v>8</v>
      </c>
      <c r="F36" s="67">
        <v>5</v>
      </c>
      <c r="G36" s="92" t="s">
        <v>57</v>
      </c>
      <c r="H36" s="68">
        <f>3.667-2*0.167</f>
        <v>3.3329999999999997</v>
      </c>
      <c r="I36" s="55">
        <f t="shared" si="0"/>
        <v>27.810551999999994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1.0429999999999999</v>
      </c>
      <c r="CI36" s="63" t="s">
        <v>87</v>
      </c>
      <c r="CJ36" s="71">
        <v>5.3129999999999997</v>
      </c>
    </row>
    <row r="37" spans="2:91" ht="12.75" customHeight="1">
      <c r="B37" s="26">
        <f>IF(B36="SL.NO",1,B36+1)</f>
        <v>28</v>
      </c>
      <c r="C37" s="23" t="s">
        <v>106</v>
      </c>
      <c r="D37" s="66"/>
      <c r="E37" s="57"/>
      <c r="F37" s="67"/>
      <c r="G37" s="92"/>
      <c r="H37" s="68"/>
      <c r="I37" s="55">
        <f t="shared" si="0"/>
        <v>0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0</v>
      </c>
      <c r="CI37" s="63" t="s">
        <v>87</v>
      </c>
      <c r="CJ37" s="71">
        <v>5.3129999999999997</v>
      </c>
    </row>
    <row r="38" spans="2:91" ht="12.75" customHeight="1">
      <c r="B38" s="26">
        <f t="shared" si="3"/>
        <v>29</v>
      </c>
      <c r="C38" s="70" t="s">
        <v>101</v>
      </c>
      <c r="D38" s="66"/>
      <c r="E38" s="57">
        <v>3</v>
      </c>
      <c r="F38" s="67">
        <v>5</v>
      </c>
      <c r="G38" s="92" t="s">
        <v>57</v>
      </c>
      <c r="H38" s="68">
        <v>40</v>
      </c>
      <c r="I38" s="55">
        <f t="shared" si="0"/>
        <v>125.16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1.0429999999999999</v>
      </c>
      <c r="CI38" s="63" t="s">
        <v>87</v>
      </c>
      <c r="CJ38" s="71">
        <v>5.3129999999999997</v>
      </c>
    </row>
    <row r="39" spans="2:91" ht="12.75" customHeight="1" thickBot="1">
      <c r="B39" s="26">
        <v>29</v>
      </c>
      <c r="C39" s="23" t="s">
        <v>91</v>
      </c>
      <c r="D39" s="66"/>
      <c r="E39" s="57"/>
      <c r="F39" s="67"/>
      <c r="G39" s="92" t="s">
        <v>57</v>
      </c>
      <c r="H39" s="68">
        <f>150-40*3+3*3</f>
        <v>39</v>
      </c>
      <c r="I39" s="55">
        <f t="shared" si="0"/>
        <v>0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0</v>
      </c>
      <c r="CI39" s="78">
        <v>2</v>
      </c>
      <c r="CJ39" s="79">
        <v>0.17</v>
      </c>
    </row>
    <row r="40" spans="2:91" ht="12.75" customHeight="1">
      <c r="B40" s="26">
        <v>30</v>
      </c>
      <c r="C40" s="23" t="s">
        <v>97</v>
      </c>
      <c r="D40" s="75"/>
      <c r="E40" s="57">
        <f>TRUNC(150/1.323+1.9)</f>
        <v>115</v>
      </c>
      <c r="F40" s="76">
        <v>5</v>
      </c>
      <c r="G40" s="92" t="s">
        <v>57</v>
      </c>
      <c r="H40" s="77">
        <f>4-2*0.167</f>
        <v>3.6659999999999999</v>
      </c>
      <c r="I40" s="55">
        <f t="shared" si="0"/>
        <v>439.71836999999999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1.0429999999999999</v>
      </c>
      <c r="CG40" s="111"/>
      <c r="CH40" s="111"/>
      <c r="CI40" s="166"/>
      <c r="CJ40" s="167"/>
      <c r="CK40" s="111"/>
      <c r="CL40" s="111"/>
      <c r="CM40" s="111"/>
    </row>
    <row r="41" spans="2:91" ht="12.75" customHeight="1">
      <c r="B41" s="26">
        <v>31</v>
      </c>
      <c r="C41" s="23" t="s">
        <v>102</v>
      </c>
      <c r="D41" s="75">
        <v>4</v>
      </c>
      <c r="E41" s="57">
        <v>5</v>
      </c>
      <c r="F41" s="76">
        <v>5</v>
      </c>
      <c r="G41" s="92" t="s">
        <v>65</v>
      </c>
      <c r="H41" s="77">
        <v>6</v>
      </c>
      <c r="I41" s="55">
        <f t="shared" si="0"/>
        <v>125.15999999999998</v>
      </c>
      <c r="J41" s="59"/>
      <c r="K41" s="4"/>
      <c r="L41" s="4"/>
      <c r="M41" s="4"/>
      <c r="N41" s="4"/>
      <c r="O41" s="4"/>
      <c r="P41" s="4"/>
      <c r="Q41" s="4"/>
      <c r="AK41" s="44">
        <f t="shared" ref="AK41:AK72" si="4">IF(F41="",0,VLOOKUP(F41,$CI$15:$CJ$111,2,FALSE))</f>
        <v>1.0429999999999999</v>
      </c>
      <c r="CG41" s="111"/>
      <c r="CH41" s="111"/>
      <c r="CI41" s="166"/>
      <c r="CJ41" s="167"/>
      <c r="CK41" s="111"/>
      <c r="CL41" s="111"/>
      <c r="CM41" s="111"/>
    </row>
    <row r="42" spans="2:91" ht="12.75" customHeight="1">
      <c r="B42" s="26">
        <v>32</v>
      </c>
      <c r="C42" s="23" t="s">
        <v>107</v>
      </c>
      <c r="D42" s="66"/>
      <c r="E42" s="57"/>
      <c r="F42" s="67"/>
      <c r="G42" s="92"/>
      <c r="H42" s="68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4"/>
        <v>0</v>
      </c>
    </row>
    <row r="43" spans="2:91" ht="12.75" customHeight="1">
      <c r="B43" s="26">
        <f t="shared" ref="B43:B52" si="5">IF(B42="SL.NO",1,B42+1)</f>
        <v>33</v>
      </c>
      <c r="C43" s="70" t="s">
        <v>101</v>
      </c>
      <c r="D43" s="66"/>
      <c r="E43" s="57">
        <f>TRUNC(4.323/1+1.9)</f>
        <v>6</v>
      </c>
      <c r="F43" s="67">
        <v>5</v>
      </c>
      <c r="G43" s="92" t="s">
        <v>57</v>
      </c>
      <c r="H43" s="68">
        <f>6+4*3</f>
        <v>18</v>
      </c>
      <c r="I43" s="55">
        <f t="shared" si="0"/>
        <v>112.64399999999998</v>
      </c>
      <c r="J43" s="59"/>
      <c r="K43" s="4"/>
      <c r="L43" s="4"/>
      <c r="M43" s="4"/>
      <c r="N43" s="4"/>
      <c r="O43" s="4"/>
      <c r="P43" s="4"/>
      <c r="Q43" s="4"/>
      <c r="AK43" s="44">
        <f t="shared" si="4"/>
        <v>1.0429999999999999</v>
      </c>
    </row>
    <row r="44" spans="2:91" ht="12.75" customHeight="1">
      <c r="B44" s="26">
        <f t="shared" si="5"/>
        <v>34</v>
      </c>
      <c r="C44" s="23" t="s">
        <v>97</v>
      </c>
      <c r="D44" s="66"/>
      <c r="E44" s="57">
        <f>TRUNC(6/1.5+1.9)</f>
        <v>5</v>
      </c>
      <c r="F44" s="67">
        <v>5</v>
      </c>
      <c r="G44" s="92" t="s">
        <v>57</v>
      </c>
      <c r="H44" s="68">
        <f>4.323-2*0.167</f>
        <v>3.9890000000000003</v>
      </c>
      <c r="I44" s="55">
        <f t="shared" si="0"/>
        <v>20.802635000000002</v>
      </c>
      <c r="J44" s="59"/>
      <c r="K44" s="4"/>
      <c r="L44" s="4"/>
      <c r="M44" s="4"/>
      <c r="N44" s="4"/>
      <c r="O44" s="4"/>
      <c r="P44" s="4"/>
      <c r="Q44" s="4"/>
      <c r="AK44" s="44">
        <f t="shared" si="4"/>
        <v>1.0429999999999999</v>
      </c>
    </row>
    <row r="45" spans="2:91" ht="12.75" customHeight="1">
      <c r="B45" s="26">
        <f t="shared" si="5"/>
        <v>35</v>
      </c>
      <c r="C45" s="23" t="s">
        <v>108</v>
      </c>
      <c r="D45" s="57"/>
      <c r="E45" s="57"/>
      <c r="F45" s="67"/>
      <c r="G45" s="92"/>
      <c r="H45" s="68"/>
      <c r="I45" s="55">
        <f t="shared" si="0"/>
        <v>0</v>
      </c>
      <c r="J45" s="59"/>
      <c r="K45" s="4"/>
      <c r="L45" s="4"/>
      <c r="M45" s="4"/>
      <c r="N45" s="4"/>
      <c r="O45" s="4"/>
      <c r="P45" s="4"/>
      <c r="Q45" s="4"/>
      <c r="AK45" s="44">
        <f t="shared" si="4"/>
        <v>0</v>
      </c>
    </row>
    <row r="46" spans="2:91" ht="12.75" customHeight="1">
      <c r="B46" s="26">
        <f t="shared" si="5"/>
        <v>36</v>
      </c>
      <c r="C46" s="70" t="s">
        <v>101</v>
      </c>
      <c r="D46" s="57"/>
      <c r="E46" s="57">
        <f>TRUNC(5/1+1.9)</f>
        <v>6</v>
      </c>
      <c r="F46" s="67">
        <v>5</v>
      </c>
      <c r="G46" s="92" t="s">
        <v>57</v>
      </c>
      <c r="H46" s="58">
        <f>6+4*3</f>
        <v>18</v>
      </c>
      <c r="I46" s="55">
        <f t="shared" si="0"/>
        <v>112.64399999999998</v>
      </c>
      <c r="J46" s="59"/>
      <c r="K46" s="4"/>
      <c r="L46" s="4"/>
      <c r="M46" s="4"/>
      <c r="N46" s="4"/>
      <c r="O46" s="4"/>
      <c r="P46" s="4"/>
      <c r="Q46" s="4"/>
      <c r="AK46" s="44">
        <f t="shared" si="4"/>
        <v>1.0429999999999999</v>
      </c>
    </row>
    <row r="47" spans="2:91" ht="12.75" customHeight="1">
      <c r="B47" s="26">
        <f t="shared" si="5"/>
        <v>37</v>
      </c>
      <c r="C47" s="23" t="s">
        <v>97</v>
      </c>
      <c r="D47" s="80"/>
      <c r="E47" s="57">
        <f>TRUNC(6/1.5+1.9)</f>
        <v>5</v>
      </c>
      <c r="F47" s="57">
        <v>5</v>
      </c>
      <c r="G47" s="92" t="s">
        <v>57</v>
      </c>
      <c r="H47" s="58">
        <f>5-2*0.167</f>
        <v>4.6660000000000004</v>
      </c>
      <c r="I47" s="55">
        <f t="shared" si="0"/>
        <v>24.333190000000002</v>
      </c>
      <c r="J47" s="59"/>
      <c r="K47" s="4"/>
      <c r="L47" s="4"/>
      <c r="M47" s="34"/>
      <c r="N47" s="34"/>
      <c r="O47" s="4"/>
      <c r="P47" s="4"/>
      <c r="Q47" s="4"/>
      <c r="AK47" s="44">
        <f t="shared" si="4"/>
        <v>1.0429999999999999</v>
      </c>
    </row>
    <row r="48" spans="2:91" ht="12.75" customHeight="1">
      <c r="B48" s="26">
        <f t="shared" si="5"/>
        <v>38</v>
      </c>
      <c r="C48" s="23" t="s">
        <v>109</v>
      </c>
      <c r="D48" s="57"/>
      <c r="E48" s="57"/>
      <c r="F48" s="57"/>
      <c r="G48" s="92"/>
      <c r="H48" s="58"/>
      <c r="I48" s="55">
        <f t="shared" si="0"/>
        <v>0</v>
      </c>
      <c r="J48" s="59"/>
      <c r="K48" s="4"/>
      <c r="L48" s="16"/>
      <c r="M48" s="34"/>
      <c r="N48" s="34"/>
      <c r="O48" s="4"/>
      <c r="P48" s="4"/>
      <c r="Q48" s="4"/>
      <c r="AK48" s="44">
        <f t="shared" si="4"/>
        <v>0</v>
      </c>
    </row>
    <row r="49" spans="2:37" ht="12.75" customHeight="1">
      <c r="B49" s="26">
        <f t="shared" si="5"/>
        <v>39</v>
      </c>
      <c r="C49" s="70" t="s">
        <v>101</v>
      </c>
      <c r="D49" s="57"/>
      <c r="E49" s="57">
        <f>TRUNC(5.5/1+1.9)</f>
        <v>7</v>
      </c>
      <c r="F49" s="57">
        <v>5</v>
      </c>
      <c r="G49" s="92" t="s">
        <v>57</v>
      </c>
      <c r="H49" s="58">
        <f>23.167+4*3</f>
        <v>35.167000000000002</v>
      </c>
      <c r="I49" s="55">
        <f t="shared" si="0"/>
        <v>256.75426700000003</v>
      </c>
      <c r="J49" s="59"/>
      <c r="K49" s="4"/>
      <c r="L49" s="16"/>
      <c r="M49" s="34"/>
      <c r="N49" s="16"/>
      <c r="O49" s="4"/>
      <c r="P49" s="4"/>
      <c r="Q49" s="4"/>
      <c r="AK49" s="44">
        <f t="shared" si="4"/>
        <v>1.0429999999999999</v>
      </c>
    </row>
    <row r="50" spans="2:37" ht="12.75" customHeight="1">
      <c r="B50" s="26">
        <f t="shared" si="5"/>
        <v>40</v>
      </c>
      <c r="C50" s="23" t="s">
        <v>97</v>
      </c>
      <c r="D50" s="66"/>
      <c r="E50" s="57">
        <f>TRUNC(23.167/1.667+1.9)</f>
        <v>15</v>
      </c>
      <c r="F50" s="57">
        <v>5</v>
      </c>
      <c r="G50" s="92" t="s">
        <v>57</v>
      </c>
      <c r="H50" s="58">
        <f>5.5-2*0.167</f>
        <v>5.1660000000000004</v>
      </c>
      <c r="I50" s="55">
        <f t="shared" si="0"/>
        <v>80.822069999999997</v>
      </c>
      <c r="J50" s="59"/>
      <c r="K50" s="4"/>
      <c r="L50" s="16"/>
      <c r="M50" s="34"/>
      <c r="N50" s="34"/>
      <c r="O50" s="4"/>
      <c r="P50" s="4"/>
      <c r="Q50" s="4"/>
      <c r="AK50" s="44">
        <f t="shared" si="4"/>
        <v>1.0429999999999999</v>
      </c>
    </row>
    <row r="51" spans="2:37" ht="12.75" customHeight="1">
      <c r="B51" s="26">
        <f t="shared" si="5"/>
        <v>41</v>
      </c>
      <c r="C51" s="23" t="s">
        <v>110</v>
      </c>
      <c r="D51" s="66"/>
      <c r="E51" s="57"/>
      <c r="F51" s="57"/>
      <c r="G51" s="92"/>
      <c r="H51" s="58"/>
      <c r="I51" s="55">
        <f t="shared" si="0"/>
        <v>0</v>
      </c>
      <c r="J51" s="59"/>
      <c r="K51" s="4"/>
      <c r="L51" s="16"/>
      <c r="M51" s="34"/>
      <c r="N51" s="34"/>
      <c r="O51" s="4"/>
      <c r="P51" s="4"/>
      <c r="Q51" s="4"/>
      <c r="AK51" s="44">
        <f t="shared" si="4"/>
        <v>0</v>
      </c>
    </row>
    <row r="52" spans="2:37" ht="12.75" customHeight="1">
      <c r="B52" s="26">
        <f t="shared" si="5"/>
        <v>42</v>
      </c>
      <c r="C52" s="70" t="s">
        <v>101</v>
      </c>
      <c r="D52" s="66"/>
      <c r="E52" s="57">
        <f>TRUNC(6/1+1.9)</f>
        <v>7</v>
      </c>
      <c r="F52" s="57">
        <v>5</v>
      </c>
      <c r="G52" s="92" t="s">
        <v>57</v>
      </c>
      <c r="H52" s="58">
        <v>40</v>
      </c>
      <c r="I52" s="55">
        <f t="shared" si="0"/>
        <v>292.03999999999996</v>
      </c>
      <c r="J52" s="59"/>
      <c r="K52" s="4"/>
      <c r="L52" s="16"/>
      <c r="M52" s="34"/>
      <c r="N52" s="34"/>
      <c r="O52" s="4"/>
      <c r="P52" s="4"/>
      <c r="Q52" s="4"/>
      <c r="AK52" s="44">
        <f t="shared" si="4"/>
        <v>1.0429999999999999</v>
      </c>
    </row>
    <row r="53" spans="2:37" ht="12.75" customHeight="1">
      <c r="B53" s="26">
        <v>42</v>
      </c>
      <c r="C53" s="23" t="s">
        <v>91</v>
      </c>
      <c r="D53" s="66"/>
      <c r="E53" s="57"/>
      <c r="F53" s="57"/>
      <c r="G53" s="92" t="s">
        <v>57</v>
      </c>
      <c r="H53" s="58">
        <f>83.42-40*2+6*3</f>
        <v>21.42</v>
      </c>
      <c r="I53" s="55">
        <f t="shared" si="0"/>
        <v>0</v>
      </c>
      <c r="J53" s="59"/>
      <c r="K53" s="4"/>
      <c r="M53" s="4"/>
      <c r="N53" s="4"/>
      <c r="O53" s="4"/>
      <c r="P53" s="4"/>
      <c r="Q53" s="4"/>
      <c r="AK53" s="44">
        <f t="shared" si="4"/>
        <v>0</v>
      </c>
    </row>
    <row r="54" spans="2:37" ht="12.75" customHeight="1">
      <c r="B54" s="26">
        <v>43</v>
      </c>
      <c r="C54" s="23" t="s">
        <v>97</v>
      </c>
      <c r="D54" s="66"/>
      <c r="E54" s="57">
        <f>TRUNC(65.417/1.667+1.9)</f>
        <v>41</v>
      </c>
      <c r="F54" s="67">
        <v>5</v>
      </c>
      <c r="G54" s="92" t="s">
        <v>57</v>
      </c>
      <c r="H54" s="58">
        <f>6-2*0.167</f>
        <v>5.6660000000000004</v>
      </c>
      <c r="I54" s="55">
        <f t="shared" si="0"/>
        <v>242.29515800000001</v>
      </c>
      <c r="J54" s="59"/>
      <c r="K54" s="4"/>
      <c r="L54" s="4"/>
      <c r="M54" s="4"/>
      <c r="N54" s="4"/>
      <c r="O54" s="4"/>
      <c r="P54" s="4"/>
      <c r="Q54" s="4"/>
      <c r="AK54" s="44">
        <f t="shared" si="4"/>
        <v>1.0429999999999999</v>
      </c>
    </row>
    <row r="55" spans="2:37" ht="12.75" customHeight="1">
      <c r="B55" s="26">
        <f t="shared" ref="B55:B57" si="6">IF(B54="SL.NO",1,B54+1)</f>
        <v>44</v>
      </c>
      <c r="C55" s="23" t="s">
        <v>111</v>
      </c>
      <c r="D55" s="66"/>
      <c r="E55" s="57"/>
      <c r="F55" s="67"/>
      <c r="G55" s="92"/>
      <c r="H55" s="58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4"/>
        <v>0</v>
      </c>
    </row>
    <row r="56" spans="2:37" ht="12.75" customHeight="1">
      <c r="B56" s="26">
        <f t="shared" si="6"/>
        <v>45</v>
      </c>
      <c r="C56" s="70" t="s">
        <v>101</v>
      </c>
      <c r="D56" s="66"/>
      <c r="E56" s="57">
        <f>TRUNC(7/1+1.9)</f>
        <v>8</v>
      </c>
      <c r="F56" s="67">
        <v>5</v>
      </c>
      <c r="G56" s="92" t="s">
        <v>57</v>
      </c>
      <c r="H56" s="58">
        <f>6.25+2*3</f>
        <v>12.25</v>
      </c>
      <c r="I56" s="55">
        <f t="shared" si="0"/>
        <v>102.214</v>
      </c>
      <c r="J56" s="59"/>
      <c r="L56" s="4"/>
      <c r="M56" s="4"/>
      <c r="N56" s="4"/>
      <c r="O56" s="4"/>
      <c r="P56" s="4"/>
      <c r="Q56" s="4"/>
      <c r="AK56" s="44">
        <f t="shared" si="4"/>
        <v>1.0429999999999999</v>
      </c>
    </row>
    <row r="57" spans="2:37" ht="12.75" customHeight="1">
      <c r="B57" s="26">
        <f t="shared" si="6"/>
        <v>46</v>
      </c>
      <c r="C57" s="23" t="s">
        <v>97</v>
      </c>
      <c r="D57" s="66"/>
      <c r="E57" s="57">
        <f>TRUNC(6.25/1.667+1.9)</f>
        <v>5</v>
      </c>
      <c r="F57" s="67">
        <v>5</v>
      </c>
      <c r="G57" s="92" t="s">
        <v>57</v>
      </c>
      <c r="H57" s="58">
        <f>7-2*0.167</f>
        <v>6.6660000000000004</v>
      </c>
      <c r="I57" s="55">
        <f t="shared" si="0"/>
        <v>34.763190000000002</v>
      </c>
      <c r="J57" s="59"/>
      <c r="K57" s="4"/>
      <c r="L57" s="4"/>
      <c r="M57" s="4"/>
      <c r="N57" s="4"/>
      <c r="O57" s="4"/>
      <c r="P57" s="4"/>
      <c r="Q57" s="4"/>
      <c r="AK57" s="44">
        <f t="shared" si="4"/>
        <v>1.0429999999999999</v>
      </c>
    </row>
    <row r="58" spans="2:37" ht="12.75" customHeight="1">
      <c r="B58" s="26">
        <f t="shared" si="2"/>
        <v>47</v>
      </c>
      <c r="C58" s="23" t="s">
        <v>112</v>
      </c>
      <c r="D58" s="66"/>
      <c r="E58" s="57"/>
      <c r="F58" s="67"/>
      <c r="G58" s="92"/>
      <c r="H58" s="68"/>
      <c r="I58" s="55">
        <f t="shared" si="0"/>
        <v>0</v>
      </c>
      <c r="J58" s="59"/>
      <c r="K58" s="4"/>
      <c r="L58" s="4"/>
      <c r="M58" s="4"/>
      <c r="N58" s="4"/>
      <c r="O58" s="4"/>
      <c r="P58" s="4"/>
      <c r="Q58" s="4"/>
      <c r="AK58" s="44">
        <f t="shared" si="4"/>
        <v>0</v>
      </c>
    </row>
    <row r="59" spans="2:37" ht="12.75" customHeight="1">
      <c r="B59" s="26">
        <f t="shared" si="2"/>
        <v>48</v>
      </c>
      <c r="C59" s="70" t="s">
        <v>113</v>
      </c>
      <c r="D59" s="66"/>
      <c r="E59" s="57">
        <v>227</v>
      </c>
      <c r="F59" s="67">
        <v>5</v>
      </c>
      <c r="G59" s="92" t="s">
        <v>65</v>
      </c>
      <c r="H59" s="68">
        <v>5</v>
      </c>
      <c r="I59" s="55">
        <f t="shared" si="0"/>
        <v>1183.8050000000001</v>
      </c>
      <c r="J59" s="59"/>
      <c r="K59" s="4"/>
      <c r="L59" s="4"/>
      <c r="M59" s="4"/>
      <c r="N59" s="4"/>
      <c r="O59" s="4"/>
      <c r="P59" s="4"/>
      <c r="Q59" s="4"/>
      <c r="AK59" s="44">
        <f t="shared" si="4"/>
        <v>1.0429999999999999</v>
      </c>
    </row>
    <row r="60" spans="2:37" ht="12.75" customHeight="1">
      <c r="B60" s="26">
        <f t="shared" si="2"/>
        <v>49</v>
      </c>
      <c r="C60" s="87" t="s">
        <v>249</v>
      </c>
      <c r="D60" s="81"/>
      <c r="E60" s="81"/>
      <c r="F60" s="83"/>
      <c r="G60" s="122"/>
      <c r="H60" s="84"/>
      <c r="I60" s="55">
        <f t="shared" si="0"/>
        <v>0</v>
      </c>
      <c r="J60" s="59"/>
      <c r="K60" s="4"/>
      <c r="L60" s="4"/>
      <c r="M60" s="4"/>
      <c r="N60" s="4"/>
      <c r="O60" s="4"/>
      <c r="P60" s="4"/>
      <c r="Q60" s="4"/>
      <c r="AK60" s="44">
        <f t="shared" si="4"/>
        <v>0</v>
      </c>
    </row>
    <row r="61" spans="2:37" ht="12.75" customHeight="1">
      <c r="B61" s="26">
        <f t="shared" si="2"/>
        <v>50</v>
      </c>
      <c r="C61" s="119" t="s">
        <v>264</v>
      </c>
      <c r="D61" s="120"/>
      <c r="E61" s="120">
        <f>TRUNC(453.83/1+1.9)</f>
        <v>455</v>
      </c>
      <c r="F61" s="121">
        <v>6</v>
      </c>
      <c r="G61" s="122" t="s">
        <v>65</v>
      </c>
      <c r="H61" s="93">
        <f>3.5+1.33-0.25+1</f>
        <v>5.58</v>
      </c>
      <c r="I61" s="55">
        <f t="shared" si="0"/>
        <v>3813.4277999999999</v>
      </c>
      <c r="J61" s="59"/>
      <c r="K61" s="4"/>
      <c r="L61" s="4"/>
      <c r="M61" s="4"/>
      <c r="N61" s="4"/>
      <c r="O61" s="4"/>
      <c r="P61" s="4"/>
      <c r="Q61" s="4"/>
      <c r="AK61" s="44">
        <f t="shared" si="4"/>
        <v>1.502</v>
      </c>
    </row>
    <row r="62" spans="2:37" ht="12.75" customHeight="1">
      <c r="B62" s="26">
        <f t="shared" si="2"/>
        <v>51</v>
      </c>
      <c r="C62" s="119" t="s">
        <v>265</v>
      </c>
      <c r="D62" s="120"/>
      <c r="E62" s="120">
        <f>TRUNC(453.83/0.556+1.9)</f>
        <v>818</v>
      </c>
      <c r="F62" s="121">
        <v>7</v>
      </c>
      <c r="G62" s="122" t="s">
        <v>65</v>
      </c>
      <c r="H62" s="93">
        <f>3.5+1.33-0.25+1.167</f>
        <v>5.7469999999999999</v>
      </c>
      <c r="I62" s="55">
        <f t="shared" si="0"/>
        <v>9608.9380239999991</v>
      </c>
      <c r="J62" s="59"/>
      <c r="K62" s="4"/>
      <c r="L62" s="4"/>
      <c r="M62" s="4"/>
      <c r="N62" s="4"/>
      <c r="O62" s="4"/>
      <c r="P62" s="4"/>
      <c r="Q62" s="4"/>
      <c r="AK62" s="44">
        <f t="shared" si="4"/>
        <v>2.044</v>
      </c>
    </row>
    <row r="63" spans="2:37" ht="12.75" customHeight="1">
      <c r="B63" s="26">
        <f t="shared" si="2"/>
        <v>52</v>
      </c>
      <c r="C63" s="119" t="s">
        <v>252</v>
      </c>
      <c r="D63" s="120">
        <v>2</v>
      </c>
      <c r="E63" s="120">
        <f>TRUNC(18.667/1+1.9)</f>
        <v>20</v>
      </c>
      <c r="F63" s="121">
        <v>5</v>
      </c>
      <c r="G63" s="122" t="s">
        <v>65</v>
      </c>
      <c r="H63" s="93">
        <f>3.5+1.66-0.25+1</f>
        <v>5.91</v>
      </c>
      <c r="I63" s="55">
        <f t="shared" si="0"/>
        <v>246.5652</v>
      </c>
      <c r="J63" s="59"/>
      <c r="K63" s="4"/>
      <c r="L63" s="4"/>
      <c r="M63" s="4"/>
      <c r="N63" s="4"/>
      <c r="O63" s="4"/>
      <c r="P63" s="4"/>
      <c r="Q63" s="4"/>
      <c r="AK63" s="44">
        <f t="shared" si="4"/>
        <v>1.0429999999999999</v>
      </c>
    </row>
    <row r="64" spans="2:37" ht="12.75" customHeight="1">
      <c r="B64" s="26">
        <f t="shared" si="2"/>
        <v>53</v>
      </c>
      <c r="C64" s="119" t="s">
        <v>252</v>
      </c>
      <c r="D64" s="120">
        <v>2</v>
      </c>
      <c r="E64" s="120">
        <f>TRUNC(74.25/1+1.9)</f>
        <v>76</v>
      </c>
      <c r="F64" s="121">
        <v>5</v>
      </c>
      <c r="G64" s="122" t="s">
        <v>65</v>
      </c>
      <c r="H64" s="93">
        <f>3.5+1.66-0.25+1</f>
        <v>5.91</v>
      </c>
      <c r="I64" s="55">
        <f t="shared" si="0"/>
        <v>936.94776000000002</v>
      </c>
      <c r="J64" s="59"/>
      <c r="K64" s="4"/>
      <c r="M64" s="4"/>
      <c r="N64" s="4"/>
      <c r="O64" s="4"/>
      <c r="P64" s="4"/>
      <c r="Q64" s="4"/>
      <c r="AK64" s="44">
        <f t="shared" si="4"/>
        <v>1.0429999999999999</v>
      </c>
    </row>
    <row r="65" spans="2:37" ht="12.75" customHeight="1">
      <c r="B65" s="26">
        <f t="shared" si="2"/>
        <v>54</v>
      </c>
      <c r="C65" s="119" t="s">
        <v>252</v>
      </c>
      <c r="D65" s="120">
        <v>2</v>
      </c>
      <c r="E65" s="120">
        <f>TRUNC(74.25/1+1.9)</f>
        <v>76</v>
      </c>
      <c r="F65" s="121">
        <v>5</v>
      </c>
      <c r="G65" s="122" t="s">
        <v>65</v>
      </c>
      <c r="H65" s="93">
        <f>3.5+1.66-0.25+1</f>
        <v>5.91</v>
      </c>
      <c r="I65" s="55">
        <f t="shared" si="0"/>
        <v>936.94776000000002</v>
      </c>
      <c r="J65" s="59"/>
      <c r="K65" s="4"/>
      <c r="L65" s="4"/>
      <c r="M65" s="34"/>
      <c r="N65" s="34"/>
      <c r="O65" s="4"/>
      <c r="P65" s="4"/>
      <c r="Q65" s="4"/>
      <c r="AK65" s="44">
        <f t="shared" si="4"/>
        <v>1.0429999999999999</v>
      </c>
    </row>
    <row r="66" spans="2:37" ht="12.75" customHeight="1">
      <c r="B66" s="26">
        <f t="shared" si="2"/>
        <v>55</v>
      </c>
      <c r="C66" s="119" t="s">
        <v>250</v>
      </c>
      <c r="D66" s="120"/>
      <c r="E66" s="120">
        <f>TRUNC(81.83/1+1.9)</f>
        <v>83</v>
      </c>
      <c r="F66" s="121">
        <v>6</v>
      </c>
      <c r="G66" s="122" t="s">
        <v>65</v>
      </c>
      <c r="H66" s="93">
        <f>3.5+1.167-0.25+1</f>
        <v>5.4169999999999998</v>
      </c>
      <c r="I66" s="55">
        <f t="shared" si="0"/>
        <v>675.31572199999994</v>
      </c>
      <c r="J66" s="59"/>
      <c r="K66" s="4"/>
      <c r="L66" s="16"/>
      <c r="M66" s="34"/>
      <c r="N66" s="34"/>
      <c r="O66" s="4"/>
      <c r="P66" s="4"/>
      <c r="Q66" s="4"/>
      <c r="AK66" s="44">
        <f t="shared" si="4"/>
        <v>1.502</v>
      </c>
    </row>
    <row r="67" spans="2:37" ht="12.75" customHeight="1">
      <c r="B67" s="26">
        <f t="shared" si="2"/>
        <v>56</v>
      </c>
      <c r="C67" s="119" t="s">
        <v>251</v>
      </c>
      <c r="D67" s="120"/>
      <c r="E67" s="120">
        <f>TRUNC(81.83/0.556+1.9)</f>
        <v>149</v>
      </c>
      <c r="F67" s="121">
        <v>7</v>
      </c>
      <c r="G67" s="122" t="s">
        <v>65</v>
      </c>
      <c r="H67" s="93">
        <f>3.5+1.167-0.25+1.167</f>
        <v>5.5839999999999996</v>
      </c>
      <c r="I67" s="55">
        <f t="shared" si="0"/>
        <v>1700.6407039999999</v>
      </c>
      <c r="J67" s="59"/>
      <c r="L67" s="16"/>
      <c r="M67" s="34"/>
      <c r="N67" s="16"/>
      <c r="O67" s="4"/>
      <c r="P67" s="4"/>
      <c r="Q67" s="4"/>
      <c r="AK67" s="44">
        <f t="shared" si="4"/>
        <v>2.044</v>
      </c>
    </row>
    <row r="68" spans="2:37" ht="12.75" customHeight="1">
      <c r="B68" s="26">
        <f t="shared" si="2"/>
        <v>57</v>
      </c>
      <c r="C68" s="119" t="s">
        <v>253</v>
      </c>
      <c r="D68" s="81">
        <v>2</v>
      </c>
      <c r="E68" s="120">
        <f>TRUNC(21/1.33+1.9)</f>
        <v>17</v>
      </c>
      <c r="F68" s="83">
        <v>4</v>
      </c>
      <c r="G68" s="122" t="s">
        <v>65</v>
      </c>
      <c r="H68" s="84">
        <v>4</v>
      </c>
      <c r="I68" s="55">
        <f t="shared" si="0"/>
        <v>90.847999999999999</v>
      </c>
      <c r="J68" s="59"/>
      <c r="K68" s="4"/>
      <c r="L68" s="16"/>
      <c r="M68" s="34"/>
      <c r="N68" s="34"/>
      <c r="O68" s="4"/>
      <c r="P68" s="4"/>
      <c r="Q68" s="4"/>
      <c r="AK68" s="44">
        <f t="shared" si="4"/>
        <v>0.66800000000000004</v>
      </c>
    </row>
    <row r="69" spans="2:37" ht="12.75" customHeight="1">
      <c r="B69" s="26">
        <f t="shared" si="2"/>
        <v>58</v>
      </c>
      <c r="C69" s="119" t="s">
        <v>124</v>
      </c>
      <c r="D69" s="81"/>
      <c r="E69" s="120">
        <f>TRUNC(59/1+1.9)</f>
        <v>60</v>
      </c>
      <c r="F69" s="83">
        <v>5</v>
      </c>
      <c r="G69" s="122" t="s">
        <v>65</v>
      </c>
      <c r="H69" s="84">
        <v>6.33</v>
      </c>
      <c r="I69" s="55">
        <f t="shared" si="0"/>
        <v>396.13139999999999</v>
      </c>
      <c r="J69" s="59"/>
      <c r="K69" s="4"/>
      <c r="L69" s="16"/>
      <c r="M69" s="34"/>
      <c r="N69" s="34"/>
      <c r="O69" s="4"/>
      <c r="P69" s="4"/>
      <c r="Q69" s="4"/>
      <c r="AK69" s="44">
        <f t="shared" si="4"/>
        <v>1.0429999999999999</v>
      </c>
    </row>
    <row r="70" spans="2:37" ht="12.75" customHeight="1">
      <c r="B70" s="26">
        <f t="shared" si="2"/>
        <v>59</v>
      </c>
      <c r="C70" s="97" t="s">
        <v>254</v>
      </c>
      <c r="D70" s="81">
        <v>3</v>
      </c>
      <c r="E70" s="81">
        <v>2</v>
      </c>
      <c r="F70" s="83">
        <v>9</v>
      </c>
      <c r="G70" s="122" t="s">
        <v>57</v>
      </c>
      <c r="H70" s="84">
        <f>1+(1.083-0.17)+3.5</f>
        <v>5.4130000000000003</v>
      </c>
      <c r="I70" s="55">
        <f t="shared" si="0"/>
        <v>110.42519999999999</v>
      </c>
      <c r="J70" s="59"/>
      <c r="K70" s="4"/>
      <c r="L70" s="4"/>
      <c r="M70" s="4"/>
      <c r="N70" s="4"/>
      <c r="O70" s="4"/>
      <c r="P70" s="4"/>
      <c r="Q70" s="4"/>
      <c r="AK70" s="44">
        <f t="shared" si="4"/>
        <v>3.4</v>
      </c>
    </row>
    <row r="71" spans="2:37" ht="12.75" customHeight="1">
      <c r="B71" s="26">
        <f t="shared" si="2"/>
        <v>60</v>
      </c>
      <c r="C71" s="97" t="s">
        <v>255</v>
      </c>
      <c r="D71" s="81"/>
      <c r="E71" s="81">
        <v>4</v>
      </c>
      <c r="F71" s="83">
        <v>7</v>
      </c>
      <c r="G71" s="122" t="s">
        <v>57</v>
      </c>
      <c r="H71" s="84">
        <f>1+(1.083-0.17)+3.5</f>
        <v>5.4130000000000003</v>
      </c>
      <c r="I71" s="55">
        <f t="shared" si="0"/>
        <v>44.256688000000004</v>
      </c>
      <c r="J71" s="59"/>
      <c r="K71" s="4"/>
      <c r="L71" s="4"/>
      <c r="M71" s="4"/>
      <c r="N71" s="4"/>
      <c r="O71" s="4"/>
      <c r="P71" s="4"/>
      <c r="Q71" s="4"/>
      <c r="AK71" s="44">
        <f t="shared" si="4"/>
        <v>2.044</v>
      </c>
    </row>
    <row r="72" spans="2:37" ht="12.75" customHeight="1">
      <c r="B72" s="26">
        <f t="shared" si="2"/>
        <v>61</v>
      </c>
      <c r="C72" s="97" t="s">
        <v>256</v>
      </c>
      <c r="D72" s="81">
        <v>10</v>
      </c>
      <c r="E72" s="81">
        <v>4</v>
      </c>
      <c r="F72" s="83">
        <v>8</v>
      </c>
      <c r="G72" s="122" t="s">
        <v>57</v>
      </c>
      <c r="H72" s="84">
        <f>1+(1.083-0.17)+3.5</f>
        <v>5.4130000000000003</v>
      </c>
      <c r="I72" s="55">
        <f t="shared" si="0"/>
        <v>578.10839999999996</v>
      </c>
      <c r="J72" s="59"/>
      <c r="K72" s="4"/>
      <c r="L72" s="4"/>
      <c r="M72" s="4"/>
      <c r="N72" s="4"/>
      <c r="O72" s="4"/>
      <c r="P72" s="4"/>
      <c r="Q72" s="4"/>
      <c r="AK72" s="44">
        <f t="shared" si="4"/>
        <v>2.67</v>
      </c>
    </row>
    <row r="73" spans="2:37" ht="12.75" customHeight="1">
      <c r="B73" s="26">
        <f t="shared" si="2"/>
        <v>62</v>
      </c>
      <c r="C73" s="97" t="s">
        <v>257</v>
      </c>
      <c r="D73" s="81">
        <v>2</v>
      </c>
      <c r="E73" s="81">
        <v>4</v>
      </c>
      <c r="F73" s="83">
        <v>9</v>
      </c>
      <c r="G73" s="122" t="s">
        <v>57</v>
      </c>
      <c r="H73" s="84">
        <f>1+(1.083-0.17)+3.5</f>
        <v>5.4130000000000003</v>
      </c>
      <c r="I73" s="55">
        <f t="shared" si="0"/>
        <v>147.2336</v>
      </c>
      <c r="J73" s="59"/>
      <c r="K73" s="4"/>
      <c r="L73" s="4"/>
      <c r="M73" s="4"/>
      <c r="N73" s="4"/>
      <c r="O73" s="4"/>
      <c r="P73" s="4"/>
      <c r="Q73" s="4"/>
      <c r="AK73" s="44">
        <f t="shared" ref="AK73:AK104" si="7">IF(F73="",0,VLOOKUP(F73,$CI$15:$CJ$111,2,FALSE))</f>
        <v>3.4</v>
      </c>
    </row>
    <row r="74" spans="2:37" ht="12.75" customHeight="1">
      <c r="B74" s="26">
        <f t="shared" ref="B74:B111" si="8">IF(B73="SL.NO",1,B73+1)</f>
        <v>63</v>
      </c>
      <c r="C74" s="119" t="s">
        <v>253</v>
      </c>
      <c r="D74" s="81">
        <v>2</v>
      </c>
      <c r="E74" s="120">
        <f>TRUNC(21/1.33+1.9)</f>
        <v>17</v>
      </c>
      <c r="F74" s="83">
        <v>4</v>
      </c>
      <c r="G74" s="122" t="s">
        <v>65</v>
      </c>
      <c r="H74" s="84">
        <v>4</v>
      </c>
      <c r="I74" s="55">
        <f t="shared" si="0"/>
        <v>90.847999999999999</v>
      </c>
      <c r="J74" s="59"/>
      <c r="K74" s="4"/>
      <c r="L74" s="4"/>
      <c r="M74" s="34"/>
      <c r="N74" s="34"/>
      <c r="O74" s="4"/>
      <c r="P74" s="4"/>
      <c r="Q74" s="4"/>
      <c r="AK74" s="44">
        <f t="shared" si="7"/>
        <v>0.66800000000000004</v>
      </c>
    </row>
    <row r="75" spans="2:37" ht="12.75" customHeight="1">
      <c r="B75" s="26">
        <f t="shared" si="8"/>
        <v>64</v>
      </c>
      <c r="C75" s="119" t="s">
        <v>253</v>
      </c>
      <c r="D75" s="81">
        <v>2</v>
      </c>
      <c r="E75" s="120">
        <f>TRUNC(21/1.33+1.9)</f>
        <v>17</v>
      </c>
      <c r="F75" s="83">
        <v>4</v>
      </c>
      <c r="G75" s="122" t="s">
        <v>65</v>
      </c>
      <c r="H75" s="84">
        <v>4</v>
      </c>
      <c r="I75" s="55">
        <f t="shared" si="0"/>
        <v>90.847999999999999</v>
      </c>
      <c r="J75" s="59"/>
      <c r="K75" s="4"/>
      <c r="L75" s="16"/>
      <c r="M75" s="34"/>
      <c r="N75" s="34"/>
      <c r="O75" s="4"/>
      <c r="P75" s="4"/>
      <c r="Q75" s="4"/>
      <c r="AK75" s="44">
        <f t="shared" si="7"/>
        <v>0.66800000000000004</v>
      </c>
    </row>
    <row r="76" spans="2:37" ht="12.75" customHeight="1">
      <c r="B76" s="26">
        <f t="shared" si="8"/>
        <v>65</v>
      </c>
      <c r="C76" s="119" t="s">
        <v>253</v>
      </c>
      <c r="D76" s="81"/>
      <c r="E76" s="120">
        <f>TRUNC(571.66/1.33+1.9)</f>
        <v>431</v>
      </c>
      <c r="F76" s="83">
        <v>4</v>
      </c>
      <c r="G76" s="122" t="s">
        <v>65</v>
      </c>
      <c r="H76" s="84">
        <v>4</v>
      </c>
      <c r="I76" s="55">
        <f t="shared" si="0"/>
        <v>1151.6320000000001</v>
      </c>
      <c r="J76" s="59"/>
      <c r="K76" s="4"/>
      <c r="L76" s="16"/>
      <c r="M76" s="34"/>
      <c r="N76" s="16"/>
      <c r="O76" s="4"/>
      <c r="P76" s="4"/>
      <c r="Q76" s="4"/>
      <c r="AK76" s="44">
        <f t="shared" si="7"/>
        <v>0.66800000000000004</v>
      </c>
    </row>
    <row r="77" spans="2:37" ht="12.75" customHeight="1">
      <c r="B77" s="26">
        <f t="shared" si="8"/>
        <v>66</v>
      </c>
      <c r="C77" s="119" t="s">
        <v>258</v>
      </c>
      <c r="D77" s="81">
        <v>2</v>
      </c>
      <c r="E77" s="120">
        <f>TRUNC(670.66/1+1.9)</f>
        <v>672</v>
      </c>
      <c r="F77" s="83">
        <v>5</v>
      </c>
      <c r="G77" s="122" t="s">
        <v>65</v>
      </c>
      <c r="H77" s="84">
        <f>3*2</f>
        <v>6</v>
      </c>
      <c r="I77" s="55">
        <f t="shared" si="0"/>
        <v>8410.7519999999986</v>
      </c>
      <c r="J77" s="59"/>
      <c r="K77" s="4"/>
      <c r="L77" s="16"/>
      <c r="M77" s="34"/>
      <c r="N77" s="34"/>
      <c r="O77" s="4"/>
      <c r="P77" s="4"/>
      <c r="Q77" s="4"/>
      <c r="AK77" s="44">
        <f t="shared" si="7"/>
        <v>1.0429999999999999</v>
      </c>
    </row>
    <row r="78" spans="2:37" ht="12.75" customHeight="1">
      <c r="B78" s="26">
        <f t="shared" si="8"/>
        <v>67</v>
      </c>
      <c r="C78" s="97" t="s">
        <v>252</v>
      </c>
      <c r="D78" s="81"/>
      <c r="E78" s="81">
        <f>(TRUNC(322.83/1+1.9)*2)-(11*2)-(13*4)</f>
        <v>574</v>
      </c>
      <c r="F78" s="83">
        <v>5</v>
      </c>
      <c r="G78" s="122" t="s">
        <v>65</v>
      </c>
      <c r="H78" s="84">
        <f>1+(1.083-0.17)+3.5</f>
        <v>5.4130000000000003</v>
      </c>
      <c r="I78" s="55">
        <f t="shared" si="0"/>
        <v>3240.6656659999999</v>
      </c>
      <c r="J78" s="59"/>
      <c r="L78" s="16"/>
      <c r="M78" s="34"/>
      <c r="N78" s="34"/>
      <c r="O78" s="4"/>
      <c r="P78" s="4"/>
      <c r="Q78" s="4"/>
      <c r="AK78" s="44">
        <f t="shared" si="7"/>
        <v>1.0429999999999999</v>
      </c>
    </row>
    <row r="79" spans="2:37" ht="12.75" customHeight="1">
      <c r="B79" s="26">
        <f t="shared" si="8"/>
        <v>68</v>
      </c>
      <c r="C79" s="97" t="s">
        <v>252</v>
      </c>
      <c r="D79" s="81"/>
      <c r="E79" s="81">
        <f>(TRUNC(59/1+1.9))</f>
        <v>60</v>
      </c>
      <c r="F79" s="83">
        <v>5</v>
      </c>
      <c r="G79" s="122" t="s">
        <v>65</v>
      </c>
      <c r="H79" s="84">
        <f>1+(1.083-0.17)+3.5</f>
        <v>5.4130000000000003</v>
      </c>
      <c r="I79" s="55">
        <f t="shared" si="0"/>
        <v>338.74554000000001</v>
      </c>
      <c r="J79" s="59"/>
      <c r="K79" s="4"/>
      <c r="L79" s="4"/>
      <c r="M79" s="4"/>
      <c r="N79" s="4"/>
      <c r="O79" s="4"/>
      <c r="P79" s="4"/>
      <c r="Q79" s="4"/>
      <c r="AK79" s="44">
        <f t="shared" si="7"/>
        <v>1.0429999999999999</v>
      </c>
    </row>
    <row r="80" spans="2:37" ht="12.75" customHeight="1">
      <c r="B80" s="26">
        <f t="shared" si="8"/>
        <v>69</v>
      </c>
      <c r="C80" s="86"/>
      <c r="D80" s="66"/>
      <c r="E80" s="57"/>
      <c r="F80" s="83"/>
      <c r="G80" s="52"/>
      <c r="H80" s="84"/>
      <c r="I80" s="55">
        <f t="shared" si="0"/>
        <v>0</v>
      </c>
      <c r="J80" s="59"/>
      <c r="K80" s="4"/>
      <c r="L80" s="4"/>
      <c r="M80" s="4"/>
      <c r="N80" s="4"/>
      <c r="O80" s="4"/>
      <c r="P80" s="4"/>
      <c r="Q80" s="4"/>
      <c r="AK80" s="44">
        <f t="shared" si="7"/>
        <v>0</v>
      </c>
    </row>
    <row r="81" spans="2:37" ht="12.75" customHeight="1">
      <c r="B81" s="26">
        <f t="shared" si="8"/>
        <v>70</v>
      </c>
      <c r="C81" s="86"/>
      <c r="D81" s="66"/>
      <c r="E81" s="57"/>
      <c r="F81" s="83"/>
      <c r="G81" s="52"/>
      <c r="H81" s="84"/>
      <c r="I81" s="55">
        <f t="shared" si="0"/>
        <v>0</v>
      </c>
      <c r="J81" s="59"/>
      <c r="K81" s="4"/>
      <c r="L81" s="4"/>
      <c r="M81" s="4"/>
      <c r="N81" s="4"/>
      <c r="O81" s="4"/>
      <c r="P81" s="4"/>
      <c r="Q81" s="4"/>
      <c r="AK81" s="44">
        <f t="shared" si="7"/>
        <v>0</v>
      </c>
    </row>
    <row r="82" spans="2:37" ht="12.75" customHeight="1">
      <c r="B82" s="26">
        <f t="shared" si="8"/>
        <v>71</v>
      </c>
      <c r="C82" s="86"/>
      <c r="D82" s="66"/>
      <c r="E82" s="57"/>
      <c r="F82" s="83"/>
      <c r="G82" s="52"/>
      <c r="H82" s="84"/>
      <c r="I82" s="55">
        <f t="shared" si="0"/>
        <v>0</v>
      </c>
      <c r="J82" s="59"/>
      <c r="K82" s="4"/>
      <c r="L82" s="4"/>
      <c r="M82" s="4"/>
      <c r="N82" s="4"/>
      <c r="O82" s="4"/>
      <c r="P82" s="4"/>
      <c r="Q82" s="4"/>
      <c r="AK82" s="44">
        <f t="shared" si="7"/>
        <v>0</v>
      </c>
    </row>
    <row r="83" spans="2:37" ht="12.75" customHeight="1">
      <c r="B83" s="26">
        <f t="shared" si="8"/>
        <v>72</v>
      </c>
      <c r="C83" s="86"/>
      <c r="D83" s="66"/>
      <c r="E83" s="57"/>
      <c r="F83" s="83"/>
      <c r="G83" s="52"/>
      <c r="H83" s="84"/>
      <c r="I83" s="55">
        <f t="shared" si="0"/>
        <v>0</v>
      </c>
      <c r="J83" s="59"/>
      <c r="K83" s="4"/>
      <c r="L83" s="4"/>
      <c r="M83" s="4"/>
      <c r="N83" s="4"/>
      <c r="O83" s="4"/>
      <c r="P83" s="4"/>
      <c r="Q83" s="4"/>
      <c r="AK83" s="44">
        <f t="shared" si="7"/>
        <v>0</v>
      </c>
    </row>
    <row r="84" spans="2:37" ht="12.75" customHeight="1">
      <c r="B84" s="26">
        <f t="shared" si="8"/>
        <v>73</v>
      </c>
      <c r="C84" s="86"/>
      <c r="D84" s="66"/>
      <c r="E84" s="57"/>
      <c r="F84" s="83"/>
      <c r="G84" s="52"/>
      <c r="H84" s="84"/>
      <c r="I84" s="55">
        <f t="shared" si="0"/>
        <v>0</v>
      </c>
      <c r="J84" s="59"/>
      <c r="K84" s="4"/>
      <c r="L84" s="4"/>
      <c r="M84" s="4"/>
      <c r="N84" s="4"/>
      <c r="O84" s="4"/>
      <c r="P84" s="4"/>
      <c r="Q84" s="4"/>
      <c r="AK84" s="44">
        <f t="shared" si="7"/>
        <v>0</v>
      </c>
    </row>
    <row r="85" spans="2:37" ht="12.75" customHeight="1">
      <c r="B85" s="26">
        <f t="shared" si="8"/>
        <v>74</v>
      </c>
      <c r="C85" s="86"/>
      <c r="D85" s="66"/>
      <c r="E85" s="57"/>
      <c r="F85" s="67"/>
      <c r="G85" s="73"/>
      <c r="H85" s="84"/>
      <c r="I85" s="55">
        <f t="shared" si="0"/>
        <v>0</v>
      </c>
      <c r="J85" s="59"/>
      <c r="K85" s="4"/>
      <c r="L85" s="4"/>
      <c r="M85" s="4"/>
      <c r="N85" s="4"/>
      <c r="O85" s="4"/>
      <c r="P85" s="4"/>
      <c r="Q85" s="4"/>
      <c r="AK85" s="44">
        <f t="shared" si="7"/>
        <v>0</v>
      </c>
    </row>
    <row r="86" spans="2:37" ht="12.75" customHeight="1">
      <c r="B86" s="26">
        <f t="shared" si="8"/>
        <v>75</v>
      </c>
      <c r="C86" s="86"/>
      <c r="D86" s="66"/>
      <c r="E86" s="57"/>
      <c r="F86" s="67"/>
      <c r="G86" s="73"/>
      <c r="H86" s="84"/>
      <c r="I86" s="55">
        <f t="shared" si="0"/>
        <v>0</v>
      </c>
      <c r="J86" s="59"/>
      <c r="K86" s="4"/>
      <c r="M86" s="4"/>
      <c r="N86" s="4"/>
      <c r="O86" s="4"/>
      <c r="P86" s="4"/>
      <c r="Q86" s="4"/>
      <c r="AK86" s="44">
        <f t="shared" si="7"/>
        <v>0</v>
      </c>
    </row>
    <row r="87" spans="2:37" ht="12.75" customHeight="1">
      <c r="B87" s="26">
        <f t="shared" si="8"/>
        <v>76</v>
      </c>
      <c r="C87" s="86"/>
      <c r="D87" s="66"/>
      <c r="E87" s="57"/>
      <c r="F87" s="67"/>
      <c r="G87" s="73"/>
      <c r="H87" s="68"/>
      <c r="I87" s="55">
        <f t="shared" si="0"/>
        <v>0</v>
      </c>
      <c r="J87" s="59"/>
      <c r="K87" s="4"/>
      <c r="L87" s="4"/>
      <c r="M87" s="4"/>
      <c r="N87" s="4"/>
      <c r="O87" s="4"/>
      <c r="P87" s="4"/>
      <c r="Q87" s="4"/>
      <c r="AK87" s="44">
        <f t="shared" si="7"/>
        <v>0</v>
      </c>
    </row>
    <row r="88" spans="2:37" ht="12.75" customHeight="1">
      <c r="B88" s="26">
        <f t="shared" si="8"/>
        <v>77</v>
      </c>
      <c r="C88" s="86"/>
      <c r="D88" s="66"/>
      <c r="E88" s="57"/>
      <c r="F88" s="67"/>
      <c r="G88" s="73"/>
      <c r="H88" s="68"/>
      <c r="I88" s="55">
        <f t="shared" si="0"/>
        <v>0</v>
      </c>
      <c r="J88" s="59"/>
      <c r="K88" s="4"/>
      <c r="L88" s="4"/>
      <c r="M88" s="4"/>
      <c r="N88" s="4"/>
      <c r="O88" s="4"/>
      <c r="P88" s="4"/>
      <c r="Q88" s="4"/>
      <c r="AK88" s="44">
        <f t="shared" si="7"/>
        <v>0</v>
      </c>
    </row>
    <row r="89" spans="2:37" ht="12.75" customHeight="1">
      <c r="B89" s="26">
        <f t="shared" si="8"/>
        <v>78</v>
      </c>
      <c r="C89" s="86"/>
      <c r="D89" s="66"/>
      <c r="E89" s="57"/>
      <c r="F89" s="67"/>
      <c r="G89" s="73"/>
      <c r="H89" s="68"/>
      <c r="I89" s="55">
        <f t="shared" si="0"/>
        <v>0</v>
      </c>
      <c r="J89" s="59"/>
      <c r="L89" s="4"/>
      <c r="M89" s="4"/>
      <c r="N89" s="4"/>
      <c r="O89" s="4"/>
      <c r="P89" s="4"/>
      <c r="Q89" s="4"/>
      <c r="AK89" s="44">
        <f t="shared" si="7"/>
        <v>0</v>
      </c>
    </row>
    <row r="90" spans="2:37" ht="12.75" customHeight="1">
      <c r="B90" s="26">
        <f t="shared" si="8"/>
        <v>79</v>
      </c>
      <c r="C90" s="86"/>
      <c r="D90" s="66"/>
      <c r="E90" s="57"/>
      <c r="F90" s="67"/>
      <c r="G90" s="73"/>
      <c r="H90" s="68"/>
      <c r="I90" s="55">
        <f t="shared" si="0"/>
        <v>0</v>
      </c>
      <c r="J90" s="59"/>
      <c r="K90" s="4"/>
      <c r="L90" s="4"/>
      <c r="M90" s="4"/>
      <c r="N90" s="4"/>
      <c r="O90" s="4"/>
      <c r="P90" s="4"/>
      <c r="Q90" s="4"/>
      <c r="AK90" s="44">
        <f t="shared" si="7"/>
        <v>0</v>
      </c>
    </row>
    <row r="91" spans="2:37" ht="12.75" customHeight="1">
      <c r="B91" s="26">
        <f t="shared" si="8"/>
        <v>80</v>
      </c>
      <c r="C91" s="86"/>
      <c r="D91" s="66"/>
      <c r="E91" s="57"/>
      <c r="F91" s="67"/>
      <c r="G91" s="73"/>
      <c r="H91" s="68"/>
      <c r="I91" s="55">
        <f t="shared" si="0"/>
        <v>0</v>
      </c>
      <c r="J91" s="59"/>
      <c r="K91" s="4"/>
      <c r="L91" s="4"/>
      <c r="M91" s="4"/>
      <c r="N91" s="4"/>
      <c r="O91" s="4"/>
      <c r="P91" s="4"/>
      <c r="Q91" s="4"/>
      <c r="AK91" s="44">
        <f t="shared" si="7"/>
        <v>0</v>
      </c>
    </row>
    <row r="92" spans="2:37" ht="12.75" customHeight="1">
      <c r="B92" s="26">
        <f t="shared" si="8"/>
        <v>81</v>
      </c>
      <c r="C92" s="86"/>
      <c r="D92" s="66"/>
      <c r="E92" s="57"/>
      <c r="F92" s="67"/>
      <c r="G92" s="73"/>
      <c r="H92" s="68"/>
      <c r="I92" s="55">
        <f t="shared" si="0"/>
        <v>0</v>
      </c>
      <c r="J92" s="59"/>
      <c r="K92" s="4"/>
      <c r="L92" s="4"/>
      <c r="M92" s="4"/>
      <c r="N92" s="4"/>
      <c r="O92" s="4"/>
      <c r="P92" s="4"/>
      <c r="Q92" s="4"/>
      <c r="AK92" s="44">
        <f t="shared" si="7"/>
        <v>0</v>
      </c>
    </row>
    <row r="93" spans="2:37" ht="12.75" customHeight="1">
      <c r="B93" s="26">
        <f t="shared" si="8"/>
        <v>82</v>
      </c>
      <c r="C93" s="86"/>
      <c r="D93" s="66"/>
      <c r="E93" s="57"/>
      <c r="F93" s="83"/>
      <c r="G93" s="52"/>
      <c r="H93" s="84"/>
      <c r="I93" s="55">
        <f t="shared" si="0"/>
        <v>0</v>
      </c>
      <c r="J93" s="59"/>
      <c r="K93" s="4"/>
      <c r="L93" s="4"/>
      <c r="M93" s="4"/>
      <c r="N93" s="4"/>
      <c r="O93" s="4"/>
      <c r="P93" s="4"/>
      <c r="Q93" s="4"/>
      <c r="AK93" s="44">
        <f t="shared" si="7"/>
        <v>0</v>
      </c>
    </row>
    <row r="94" spans="2:37" ht="12.75" customHeight="1">
      <c r="B94" s="26">
        <f t="shared" si="8"/>
        <v>83</v>
      </c>
      <c r="C94" s="86"/>
      <c r="D94" s="66"/>
      <c r="E94" s="57"/>
      <c r="F94" s="83"/>
      <c r="G94" s="52"/>
      <c r="H94" s="84"/>
      <c r="I94" s="55">
        <f t="shared" si="0"/>
        <v>0</v>
      </c>
      <c r="J94" s="59"/>
      <c r="K94" s="4"/>
      <c r="L94" s="4"/>
      <c r="M94" s="4"/>
      <c r="N94" s="4"/>
      <c r="O94" s="4"/>
      <c r="P94" s="4"/>
      <c r="Q94" s="4"/>
      <c r="AK94" s="44">
        <f t="shared" si="7"/>
        <v>0</v>
      </c>
    </row>
    <row r="95" spans="2:37" ht="12.75" customHeight="1">
      <c r="B95" s="26">
        <f t="shared" si="8"/>
        <v>84</v>
      </c>
      <c r="C95" s="86"/>
      <c r="D95" s="66"/>
      <c r="E95" s="57"/>
      <c r="F95" s="83"/>
      <c r="G95" s="52"/>
      <c r="H95" s="84"/>
      <c r="I95" s="55">
        <f t="shared" si="0"/>
        <v>0</v>
      </c>
      <c r="J95" s="59"/>
      <c r="K95" s="4"/>
      <c r="L95" s="4"/>
      <c r="M95" s="4"/>
      <c r="N95" s="4"/>
      <c r="O95" s="4"/>
      <c r="P95" s="4"/>
      <c r="Q95" s="4"/>
      <c r="AK95" s="44">
        <f t="shared" si="7"/>
        <v>0</v>
      </c>
    </row>
    <row r="96" spans="2:37" ht="12.75" customHeight="1">
      <c r="B96" s="26">
        <f t="shared" si="8"/>
        <v>85</v>
      </c>
      <c r="C96" s="86"/>
      <c r="D96" s="66"/>
      <c r="E96" s="57"/>
      <c r="F96" s="83"/>
      <c r="G96" s="52"/>
      <c r="H96" s="84"/>
      <c r="I96" s="55">
        <f t="shared" si="0"/>
        <v>0</v>
      </c>
      <c r="J96" s="59"/>
      <c r="K96" s="4"/>
      <c r="L96" s="4"/>
      <c r="M96" s="4"/>
      <c r="N96" s="4"/>
      <c r="O96" s="4"/>
      <c r="P96" s="4"/>
      <c r="Q96" s="4"/>
      <c r="AK96" s="44">
        <f t="shared" si="7"/>
        <v>0</v>
      </c>
    </row>
    <row r="97" spans="2:37" ht="12.75" customHeight="1">
      <c r="B97" s="26">
        <f t="shared" si="8"/>
        <v>86</v>
      </c>
      <c r="C97" s="86"/>
      <c r="D97" s="66"/>
      <c r="E97" s="57"/>
      <c r="F97" s="83"/>
      <c r="G97" s="52"/>
      <c r="H97" s="84"/>
      <c r="I97" s="55">
        <f t="shared" si="0"/>
        <v>0</v>
      </c>
      <c r="J97" s="59"/>
      <c r="K97" s="4"/>
      <c r="M97" s="4"/>
      <c r="N97" s="4"/>
      <c r="O97" s="4"/>
      <c r="P97" s="4"/>
      <c r="Q97" s="4"/>
      <c r="AK97" s="44">
        <f t="shared" si="7"/>
        <v>0</v>
      </c>
    </row>
    <row r="98" spans="2:37" ht="12.75" customHeight="1">
      <c r="B98" s="26">
        <f t="shared" si="8"/>
        <v>87</v>
      </c>
      <c r="C98" s="86"/>
      <c r="D98" s="66"/>
      <c r="E98" s="57"/>
      <c r="F98" s="83"/>
      <c r="G98" s="52"/>
      <c r="H98" s="84"/>
      <c r="I98" s="55">
        <f t="shared" si="0"/>
        <v>0</v>
      </c>
      <c r="J98" s="59"/>
      <c r="K98" s="4"/>
      <c r="L98" s="4"/>
      <c r="M98" s="4"/>
      <c r="N98" s="4"/>
      <c r="O98" s="4"/>
      <c r="P98" s="4"/>
      <c r="Q98" s="4"/>
      <c r="AK98" s="44">
        <f t="shared" si="7"/>
        <v>0</v>
      </c>
    </row>
    <row r="99" spans="2:37" ht="12.75" customHeight="1">
      <c r="B99" s="26">
        <f t="shared" si="8"/>
        <v>88</v>
      </c>
      <c r="C99" s="86"/>
      <c r="D99" s="66"/>
      <c r="E99" s="57"/>
      <c r="F99" s="83"/>
      <c r="G99" s="52"/>
      <c r="H99" s="84"/>
      <c r="I99" s="55">
        <f t="shared" si="0"/>
        <v>0</v>
      </c>
      <c r="J99" s="59"/>
      <c r="K99" s="4"/>
      <c r="L99" s="4"/>
      <c r="M99" s="4"/>
      <c r="N99" s="4"/>
      <c r="O99" s="4"/>
      <c r="P99" s="4"/>
      <c r="Q99" s="4"/>
      <c r="AK99" s="44">
        <f t="shared" si="7"/>
        <v>0</v>
      </c>
    </row>
    <row r="100" spans="2:37" ht="12.75" customHeight="1">
      <c r="B100" s="26">
        <f t="shared" si="8"/>
        <v>89</v>
      </c>
      <c r="C100" s="87"/>
      <c r="D100" s="81"/>
      <c r="E100" s="81"/>
      <c r="F100" s="83"/>
      <c r="G100" s="52"/>
      <c r="H100" s="84"/>
      <c r="I100" s="55">
        <f t="shared" si="0"/>
        <v>0</v>
      </c>
      <c r="J100" s="59"/>
      <c r="L100" s="4"/>
      <c r="M100" s="4"/>
      <c r="N100" s="4"/>
      <c r="O100" s="4"/>
      <c r="P100" s="4"/>
      <c r="Q100" s="4"/>
      <c r="AK100" s="44">
        <f t="shared" si="7"/>
        <v>0</v>
      </c>
    </row>
    <row r="101" spans="2:37" ht="12.75" customHeight="1">
      <c r="B101" s="26">
        <f t="shared" si="8"/>
        <v>90</v>
      </c>
      <c r="C101" s="87"/>
      <c r="D101" s="81"/>
      <c r="E101" s="81"/>
      <c r="F101" s="83"/>
      <c r="G101" s="52"/>
      <c r="H101" s="84"/>
      <c r="I101" s="55">
        <f t="shared" si="0"/>
        <v>0</v>
      </c>
      <c r="J101" s="59"/>
      <c r="K101" s="4"/>
      <c r="L101" s="4"/>
      <c r="M101" s="4"/>
      <c r="N101" s="4"/>
      <c r="O101" s="4"/>
      <c r="P101" s="4"/>
      <c r="Q101" s="4"/>
      <c r="AK101" s="44">
        <f t="shared" si="7"/>
        <v>0</v>
      </c>
    </row>
    <row r="102" spans="2:37" ht="12.75" customHeight="1">
      <c r="B102" s="26">
        <f t="shared" si="8"/>
        <v>91</v>
      </c>
      <c r="C102" s="87"/>
      <c r="D102" s="81"/>
      <c r="E102" s="81"/>
      <c r="F102" s="83"/>
      <c r="G102" s="52"/>
      <c r="H102" s="84"/>
      <c r="I102" s="55">
        <f t="shared" si="0"/>
        <v>0</v>
      </c>
      <c r="J102" s="59"/>
      <c r="K102" s="4"/>
      <c r="L102" s="4"/>
      <c r="M102" s="4"/>
      <c r="N102" s="4"/>
      <c r="O102" s="4"/>
      <c r="P102" s="4"/>
      <c r="Q102" s="4"/>
      <c r="AK102" s="44">
        <f t="shared" si="7"/>
        <v>0</v>
      </c>
    </row>
    <row r="103" spans="2:37" ht="12.75" customHeight="1">
      <c r="B103" s="26">
        <f t="shared" si="8"/>
        <v>92</v>
      </c>
      <c r="C103" s="87"/>
      <c r="D103" s="81"/>
      <c r="E103" s="81"/>
      <c r="F103" s="83"/>
      <c r="G103" s="52"/>
      <c r="H103" s="84"/>
      <c r="I103" s="55">
        <f t="shared" si="0"/>
        <v>0</v>
      </c>
      <c r="J103" s="59"/>
      <c r="K103" s="4"/>
      <c r="L103" s="4"/>
      <c r="M103" s="4"/>
      <c r="N103" s="4"/>
      <c r="O103" s="4"/>
      <c r="P103" s="4"/>
      <c r="Q103" s="4"/>
      <c r="AK103" s="44">
        <f t="shared" si="7"/>
        <v>0</v>
      </c>
    </row>
    <row r="104" spans="2:37" ht="12.75" customHeight="1">
      <c r="B104" s="26">
        <f t="shared" si="8"/>
        <v>93</v>
      </c>
      <c r="C104" s="87"/>
      <c r="D104" s="81"/>
      <c r="E104" s="81"/>
      <c r="F104" s="83"/>
      <c r="G104" s="52"/>
      <c r="H104" s="84"/>
      <c r="I104" s="55">
        <f t="shared" si="0"/>
        <v>0</v>
      </c>
      <c r="J104" s="59"/>
      <c r="K104" s="4"/>
      <c r="L104" s="4"/>
      <c r="M104" s="4"/>
      <c r="N104" s="4"/>
      <c r="O104" s="4"/>
      <c r="P104" s="4"/>
      <c r="Q104" s="4"/>
      <c r="AK104" s="44">
        <f t="shared" si="7"/>
        <v>0</v>
      </c>
    </row>
    <row r="105" spans="2:37" ht="12.75" customHeight="1">
      <c r="B105" s="26">
        <f t="shared" si="8"/>
        <v>94</v>
      </c>
      <c r="C105" s="87"/>
      <c r="D105" s="81"/>
      <c r="E105" s="81"/>
      <c r="F105" s="83"/>
      <c r="G105" s="52"/>
      <c r="H105" s="84"/>
      <c r="I105" s="55">
        <f t="shared" si="0"/>
        <v>0</v>
      </c>
      <c r="J105" s="59"/>
      <c r="K105" s="4"/>
      <c r="L105" s="4"/>
      <c r="M105" s="4"/>
      <c r="N105" s="4"/>
      <c r="O105" s="4"/>
      <c r="P105" s="4"/>
      <c r="Q105" s="4"/>
      <c r="AK105" s="44">
        <f t="shared" ref="AK105:AK112" si="9">IF(F105="",0,VLOOKUP(F105,$CI$15:$CJ$111,2,FALSE))</f>
        <v>0</v>
      </c>
    </row>
    <row r="106" spans="2:37" ht="12.75" customHeight="1">
      <c r="B106" s="26">
        <f t="shared" si="8"/>
        <v>95</v>
      </c>
      <c r="C106" s="87"/>
      <c r="D106" s="81"/>
      <c r="E106" s="81"/>
      <c r="F106" s="83"/>
      <c r="G106" s="52"/>
      <c r="H106" s="84"/>
      <c r="I106" s="55">
        <f t="shared" si="0"/>
        <v>0</v>
      </c>
      <c r="J106" s="59"/>
      <c r="K106" s="4"/>
      <c r="L106" s="4"/>
      <c r="M106" s="4"/>
      <c r="N106" s="4"/>
      <c r="O106" s="4"/>
      <c r="P106" s="4"/>
      <c r="Q106" s="4"/>
      <c r="AK106" s="44">
        <f t="shared" si="9"/>
        <v>0</v>
      </c>
    </row>
    <row r="107" spans="2:37" ht="12.75" customHeight="1">
      <c r="B107" s="26">
        <f t="shared" si="8"/>
        <v>96</v>
      </c>
      <c r="C107" s="87"/>
      <c r="D107" s="81"/>
      <c r="E107" s="81"/>
      <c r="F107" s="83"/>
      <c r="G107" s="52"/>
      <c r="H107" s="84"/>
      <c r="I107" s="55">
        <f t="shared" si="0"/>
        <v>0</v>
      </c>
      <c r="J107" s="59"/>
      <c r="K107" s="4"/>
      <c r="L107" s="4"/>
      <c r="M107" s="4"/>
      <c r="N107" s="4"/>
      <c r="O107" s="4"/>
      <c r="P107" s="4"/>
      <c r="Q107" s="4"/>
      <c r="AK107" s="44">
        <f t="shared" si="9"/>
        <v>0</v>
      </c>
    </row>
    <row r="108" spans="2:37" ht="12.75" customHeight="1">
      <c r="B108" s="26">
        <f t="shared" si="8"/>
        <v>97</v>
      </c>
      <c r="C108" s="87"/>
      <c r="D108" s="81"/>
      <c r="E108" s="81"/>
      <c r="F108" s="83"/>
      <c r="G108" s="52"/>
      <c r="H108" s="84"/>
      <c r="I108" s="55">
        <f t="shared" ref="I108:I111" si="10">IF(D108="",AK108*H108*E108,AK108*H108*E108*D108)</f>
        <v>0</v>
      </c>
      <c r="J108" s="59"/>
      <c r="K108" s="4"/>
      <c r="M108" s="4"/>
      <c r="N108" s="4"/>
      <c r="O108" s="4"/>
      <c r="P108" s="4"/>
      <c r="Q108" s="4"/>
      <c r="AK108" s="44">
        <f t="shared" si="9"/>
        <v>0</v>
      </c>
    </row>
    <row r="109" spans="2:37" ht="12.75" customHeight="1">
      <c r="B109" s="26">
        <f t="shared" si="8"/>
        <v>98</v>
      </c>
      <c r="C109" s="87"/>
      <c r="D109" s="81"/>
      <c r="E109" s="81"/>
      <c r="F109" s="83"/>
      <c r="G109" s="52"/>
      <c r="H109" s="84"/>
      <c r="I109" s="55">
        <f t="shared" si="10"/>
        <v>0</v>
      </c>
      <c r="J109" s="59"/>
      <c r="K109" s="4"/>
      <c r="L109" s="4"/>
      <c r="M109" s="4"/>
      <c r="N109" s="4"/>
      <c r="O109" s="4"/>
      <c r="P109" s="4"/>
      <c r="Q109" s="4"/>
      <c r="AK109" s="44">
        <f t="shared" si="9"/>
        <v>0</v>
      </c>
    </row>
    <row r="110" spans="2:37" ht="12.75" customHeight="1">
      <c r="B110" s="26">
        <f t="shared" si="8"/>
        <v>99</v>
      </c>
      <c r="C110" s="87"/>
      <c r="D110" s="81"/>
      <c r="E110" s="81"/>
      <c r="F110" s="83"/>
      <c r="G110" s="52"/>
      <c r="H110" s="84"/>
      <c r="I110" s="55">
        <f t="shared" si="10"/>
        <v>0</v>
      </c>
      <c r="J110" s="59"/>
      <c r="K110" s="4"/>
      <c r="L110" s="4"/>
      <c r="M110" s="4"/>
      <c r="N110" s="4"/>
      <c r="O110" s="4"/>
      <c r="P110" s="4"/>
      <c r="Q110" s="4"/>
      <c r="AK110" s="44">
        <f t="shared" si="9"/>
        <v>0</v>
      </c>
    </row>
    <row r="111" spans="2:37" ht="12.75" customHeight="1">
      <c r="B111" s="26">
        <f t="shared" si="8"/>
        <v>100</v>
      </c>
      <c r="C111" s="87"/>
      <c r="D111" s="81"/>
      <c r="E111" s="81"/>
      <c r="F111" s="83"/>
      <c r="G111" s="52"/>
      <c r="H111" s="84"/>
      <c r="I111" s="55">
        <f t="shared" si="10"/>
        <v>0</v>
      </c>
      <c r="J111" s="59"/>
      <c r="L111" s="4"/>
      <c r="M111" s="4"/>
      <c r="N111" s="4"/>
      <c r="O111" s="4"/>
      <c r="P111" s="4"/>
      <c r="Q111" s="4"/>
      <c r="AK111" s="44">
        <f t="shared" si="9"/>
        <v>0</v>
      </c>
    </row>
    <row r="112" spans="2:37" ht="13.5" thickBot="1">
      <c r="G112" s="46"/>
      <c r="H112" s="88" t="s">
        <v>90</v>
      </c>
      <c r="I112" s="89">
        <f>SUM(I9:I111)</f>
        <v>37865.146376000012</v>
      </c>
      <c r="AK112" s="44">
        <f t="shared" si="9"/>
        <v>0</v>
      </c>
    </row>
    <row r="113" spans="9:9">
      <c r="I113" s="90"/>
    </row>
    <row r="116" spans="9:9">
      <c r="I116" s="90">
        <f>I112/2000</f>
        <v>18.932573188000006</v>
      </c>
    </row>
  </sheetData>
  <mergeCells count="4">
    <mergeCell ref="C1:H2"/>
    <mergeCell ref="D4:I4"/>
    <mergeCell ref="D5:I5"/>
    <mergeCell ref="D6:I6"/>
  </mergeCells>
  <dataValidations count="7">
    <dataValidation type="list" allowBlank="1" showInputMessage="1" showErrorMessage="1" sqref="F9:F59 F80:F111">
      <formula1>$CI$15:$CI$42</formula1>
    </dataValidation>
    <dataValidation type="list" allowBlank="1" showInputMessage="1" showErrorMessage="1" sqref="G9:G59 G80:G111">
      <formula1>$CL$14:$CL$25</formula1>
    </dataValidation>
    <dataValidation type="list" allowBlank="1" showInputMessage="1" showErrorMessage="1" sqref="J9:J111">
      <formula1>"A-615 GR-60,A-615 GR-40,A706 GR-60"</formula1>
    </dataValidation>
    <dataValidation type="list" allowBlank="1" showInputMessage="1" showErrorMessage="1" sqref="F60 F70:F73 F78:F79">
      <formula1>$CI$16:$CI$38</formula1>
    </dataValidation>
    <dataValidation type="list" allowBlank="1" showInputMessage="1" showErrorMessage="1" sqref="G60 G70:G73 G78:G79">
      <formula1>$CL$15:$CL$24</formula1>
    </dataValidation>
    <dataValidation type="list" allowBlank="1" showInputMessage="1" showErrorMessage="1" sqref="G61:G69 G74:G77">
      <formula1>$CL$16:$CL$26</formula1>
    </dataValidation>
    <dataValidation type="list" allowBlank="1" showInputMessage="1" showErrorMessage="1" sqref="F61:F69 F74:F77">
      <formula1>$CI$17:$CI$40</formula1>
    </dataValidation>
  </dataValidations>
  <hyperlinks>
    <hyperlink ref="C22" r:id="rId1" display="#5@12 BOT LW"/>
    <hyperlink ref="C27" r:id="rId2" display="#5@12 BOT LW"/>
    <hyperlink ref="C30" r:id="rId3" display="#5@12 BOT LW"/>
    <hyperlink ref="C33" r:id="rId4" display="#5@12 COR BAR"/>
    <hyperlink ref="C24" r:id="rId5" display="#5@12 COR BAR"/>
    <hyperlink ref="C41" r:id="rId6" display="#5@12 COR BAR"/>
  </hyperlinks>
  <printOptions horizontalCentered="1" verticalCentered="1"/>
  <pageMargins left="0.6" right="0.6" top="0" bottom="0.5" header="0.5" footer="0.5"/>
  <pageSetup paperSize="9" scale="90" orientation="portrait" r:id="rId7"/>
  <headerFooter alignWithMargins="0">
    <oddFooter>&amp;LSimsona Corp Estimation&amp;RPage &amp;P of &amp;N</oddFooter>
  </headerFooter>
  <rowBreaks count="1" manualBreakCount="1">
    <brk id="61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CL63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L36" sqref="L36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114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I63</f>
        <v>12.211264513000003</v>
      </c>
      <c r="AK8" s="51" t="s">
        <v>52</v>
      </c>
    </row>
    <row r="9" spans="2:90" ht="12.75" customHeight="1">
      <c r="B9" s="26">
        <f>IF(B8="SL.NO",1,B8+1)</f>
        <v>1</v>
      </c>
      <c r="C9" s="218" t="s">
        <v>115</v>
      </c>
      <c r="D9" s="219"/>
      <c r="E9" s="52"/>
      <c r="F9" s="53"/>
      <c r="G9" s="52"/>
      <c r="H9" s="54"/>
      <c r="I9" s="55">
        <f t="shared" ref="I9:I58" si="0">IF(D9="",AK9*H9*E9,AK9*H9*E9*D9)</f>
        <v>0</v>
      </c>
      <c r="J9" s="56"/>
      <c r="AK9" s="44">
        <f t="shared" ref="AK9:AK59" si="1">IF(F9="",0,VLOOKUP(F9,$CI$16:$CJ$58,2,FALSE))</f>
        <v>0</v>
      </c>
    </row>
    <row r="10" spans="2:90" ht="12.75" customHeight="1">
      <c r="B10" s="26">
        <f t="shared" ref="B10:B58" si="2">IF(B9="SL.NO",1,B9+1)</f>
        <v>2</v>
      </c>
      <c r="C10" s="91" t="s">
        <v>116</v>
      </c>
      <c r="D10" s="100"/>
      <c r="E10" s="23"/>
      <c r="F10" s="23"/>
      <c r="G10" s="23"/>
      <c r="H10" s="25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85" t="s">
        <v>117</v>
      </c>
      <c r="D11" s="57"/>
      <c r="E11" s="57">
        <f>ROUNDUP(17678*2*1.1/1.33/40,0)</f>
        <v>732</v>
      </c>
      <c r="F11" s="57">
        <v>4</v>
      </c>
      <c r="G11" s="161" t="s">
        <v>61</v>
      </c>
      <c r="H11" s="58">
        <v>40</v>
      </c>
      <c r="I11" s="93">
        <f t="shared" si="0"/>
        <v>19559.04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0.66800000000000004</v>
      </c>
    </row>
    <row r="12" spans="2:90" ht="12.75" customHeight="1">
      <c r="B12" s="26">
        <f t="shared" si="2"/>
        <v>4</v>
      </c>
      <c r="C12" s="85" t="s">
        <v>118</v>
      </c>
      <c r="D12" s="57"/>
      <c r="E12" s="57">
        <v>325</v>
      </c>
      <c r="F12" s="57">
        <v>4</v>
      </c>
      <c r="G12" s="161" t="s">
        <v>65</v>
      </c>
      <c r="H12" s="58">
        <v>4</v>
      </c>
      <c r="I12" s="55">
        <f t="shared" si="0"/>
        <v>868.40000000000009</v>
      </c>
      <c r="J12" s="59"/>
      <c r="K12" s="4"/>
      <c r="M12" s="4"/>
      <c r="N12" s="4"/>
      <c r="O12" s="4"/>
      <c r="P12" s="4"/>
      <c r="Q12" s="4"/>
      <c r="AK12" s="44">
        <f t="shared" si="1"/>
        <v>0.66800000000000004</v>
      </c>
    </row>
    <row r="13" spans="2:90" ht="12.75" customHeight="1">
      <c r="B13" s="26">
        <f t="shared" si="2"/>
        <v>5</v>
      </c>
      <c r="C13" s="94" t="s">
        <v>119</v>
      </c>
      <c r="D13" s="82"/>
      <c r="E13" s="82"/>
      <c r="F13" s="82"/>
      <c r="G13" s="122"/>
      <c r="H13" s="95"/>
      <c r="I13" s="55">
        <f t="shared" si="0"/>
        <v>0</v>
      </c>
      <c r="J13" s="59"/>
      <c r="K13" s="4"/>
      <c r="M13" s="4"/>
      <c r="N13" s="4"/>
      <c r="O13" s="5"/>
      <c r="P13" s="4"/>
      <c r="Q13" s="4"/>
      <c r="AK13" s="44">
        <f t="shared" si="1"/>
        <v>0</v>
      </c>
    </row>
    <row r="14" spans="2:90" ht="12.75" customHeight="1" thickBot="1">
      <c r="B14" s="26">
        <f t="shared" si="2"/>
        <v>6</v>
      </c>
      <c r="C14" s="85" t="s">
        <v>120</v>
      </c>
      <c r="D14" s="57">
        <v>4</v>
      </c>
      <c r="E14" s="57">
        <v>5</v>
      </c>
      <c r="F14" s="57">
        <v>5</v>
      </c>
      <c r="G14" s="161" t="s">
        <v>61</v>
      </c>
      <c r="H14" s="96">
        <v>40</v>
      </c>
      <c r="I14" s="55">
        <f t="shared" si="0"/>
        <v>834.4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1.0429999999999999</v>
      </c>
    </row>
    <row r="15" spans="2:90" ht="12.75" customHeight="1">
      <c r="B15" s="26">
        <f t="shared" si="2"/>
        <v>7</v>
      </c>
      <c r="C15" s="85" t="s">
        <v>91</v>
      </c>
      <c r="D15" s="57"/>
      <c r="E15" s="57">
        <v>5</v>
      </c>
      <c r="F15" s="57">
        <v>5</v>
      </c>
      <c r="G15" s="161" t="s">
        <v>57</v>
      </c>
      <c r="H15" s="26">
        <v>17</v>
      </c>
      <c r="I15" s="55">
        <f t="shared" si="0"/>
        <v>88.654999999999987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1.0429999999999999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85" t="s">
        <v>121</v>
      </c>
      <c r="D16" s="57"/>
      <c r="E16" s="57">
        <v>165</v>
      </c>
      <c r="F16" s="57">
        <v>5</v>
      </c>
      <c r="G16" s="161" t="s">
        <v>57</v>
      </c>
      <c r="H16" s="96">
        <v>3.67</v>
      </c>
      <c r="I16" s="55">
        <f t="shared" si="0"/>
        <v>631.58864999999992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1.0429999999999999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85" t="s">
        <v>122</v>
      </c>
      <c r="D17" s="57">
        <v>8</v>
      </c>
      <c r="E17" s="57">
        <v>6</v>
      </c>
      <c r="F17" s="57">
        <v>7</v>
      </c>
      <c r="G17" s="161" t="s">
        <v>65</v>
      </c>
      <c r="H17" s="96">
        <v>13</v>
      </c>
      <c r="I17" s="55">
        <f t="shared" si="0"/>
        <v>1275.4559999999999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2.044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43" t="s">
        <v>269</v>
      </c>
      <c r="D18" s="81"/>
      <c r="E18" s="81"/>
      <c r="F18" s="83"/>
      <c r="G18" s="122"/>
      <c r="H18" s="84"/>
      <c r="I18" s="55">
        <f t="shared" si="0"/>
        <v>0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0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43" t="s">
        <v>268</v>
      </c>
      <c r="D19" s="81"/>
      <c r="E19" s="120"/>
      <c r="F19" s="83"/>
      <c r="G19" s="122"/>
      <c r="H19" s="84"/>
      <c r="I19" s="55">
        <f t="shared" si="0"/>
        <v>0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0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19" t="s">
        <v>262</v>
      </c>
      <c r="D20" s="81">
        <v>2</v>
      </c>
      <c r="E20" s="120">
        <f>TRUNC(10.83/1+1.9)</f>
        <v>12</v>
      </c>
      <c r="F20" s="83">
        <v>4</v>
      </c>
      <c r="G20" s="122" t="s">
        <v>57</v>
      </c>
      <c r="H20" s="84">
        <f>8-0.167*2</f>
        <v>7.6660000000000004</v>
      </c>
      <c r="I20" s="55">
        <f t="shared" si="0"/>
        <v>122.90131200000002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0.66800000000000004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119" t="s">
        <v>263</v>
      </c>
      <c r="D21" s="81">
        <v>2</v>
      </c>
      <c r="E21" s="120">
        <f>TRUNC(8/1+1.9)</f>
        <v>9</v>
      </c>
      <c r="F21" s="83">
        <v>4</v>
      </c>
      <c r="G21" s="122" t="s">
        <v>57</v>
      </c>
      <c r="H21" s="84">
        <f>10.83-0.167*2</f>
        <v>10.496</v>
      </c>
      <c r="I21" s="55">
        <f t="shared" si="0"/>
        <v>126.20390400000001</v>
      </c>
      <c r="J21" s="59"/>
      <c r="K21" s="4"/>
      <c r="L21" s="4"/>
      <c r="N21" s="4"/>
      <c r="O21" s="62"/>
      <c r="P21" s="4"/>
      <c r="Q21" s="4"/>
      <c r="AK21" s="44">
        <f t="shared" si="1"/>
        <v>0.66800000000000004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98" t="s">
        <v>123</v>
      </c>
      <c r="D22" s="81"/>
      <c r="E22" s="81"/>
      <c r="F22" s="81"/>
      <c r="G22" s="122"/>
      <c r="H22" s="25"/>
      <c r="I22" s="55">
        <f t="shared" si="0"/>
        <v>0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0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86" t="s">
        <v>124</v>
      </c>
      <c r="D23" s="81">
        <v>2</v>
      </c>
      <c r="E23" s="81">
        <v>16</v>
      </c>
      <c r="F23" s="81">
        <v>5</v>
      </c>
      <c r="G23" s="122" t="s">
        <v>65</v>
      </c>
      <c r="H23" s="81">
        <f>8+3.75-0.16*2-0.16-0.25</f>
        <v>11.02</v>
      </c>
      <c r="I23" s="55">
        <f t="shared" si="0"/>
        <v>367.80351999999993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1.0429999999999999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86" t="s">
        <v>125</v>
      </c>
      <c r="D24" s="81">
        <v>2</v>
      </c>
      <c r="E24" s="81">
        <v>32</v>
      </c>
      <c r="F24" s="81">
        <v>4</v>
      </c>
      <c r="G24" s="122" t="s">
        <v>57</v>
      </c>
      <c r="H24" s="25">
        <v>3.42</v>
      </c>
      <c r="I24" s="55">
        <f t="shared" si="0"/>
        <v>146.21184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0.66800000000000004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99" t="s">
        <v>126</v>
      </c>
      <c r="D25" s="81">
        <v>2</v>
      </c>
      <c r="E25" s="81">
        <v>32</v>
      </c>
      <c r="F25" s="81">
        <v>4</v>
      </c>
      <c r="G25" s="122" t="s">
        <v>65</v>
      </c>
      <c r="H25" s="25">
        <v>6.4</v>
      </c>
      <c r="I25" s="55">
        <f t="shared" si="0"/>
        <v>273.61280000000005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0.66800000000000004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99" t="s">
        <v>127</v>
      </c>
      <c r="D26" s="81">
        <v>2</v>
      </c>
      <c r="E26" s="81">
        <v>16</v>
      </c>
      <c r="F26" s="81">
        <v>4</v>
      </c>
      <c r="G26" s="122" t="s">
        <v>65</v>
      </c>
      <c r="H26" s="25">
        <v>6</v>
      </c>
      <c r="I26" s="55">
        <f t="shared" si="0"/>
        <v>128.256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0.66800000000000004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87"/>
      <c r="D27" s="81"/>
      <c r="E27" s="81"/>
      <c r="F27" s="83"/>
      <c r="G27" s="52"/>
      <c r="H27" s="84"/>
      <c r="I27" s="55">
        <f t="shared" si="0"/>
        <v>0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0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97"/>
      <c r="D28" s="81"/>
      <c r="E28" s="81"/>
      <c r="F28" s="83"/>
      <c r="G28" s="52"/>
      <c r="H28" s="84"/>
      <c r="I28" s="55">
        <f t="shared" si="0"/>
        <v>0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0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97"/>
      <c r="D29" s="81"/>
      <c r="E29" s="81"/>
      <c r="F29" s="83"/>
      <c r="G29" s="52"/>
      <c r="H29" s="84"/>
      <c r="I29" s="55">
        <f t="shared" si="0"/>
        <v>0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97"/>
      <c r="D30" s="81"/>
      <c r="E30" s="81"/>
      <c r="F30" s="83"/>
      <c r="G30" s="52"/>
      <c r="H30" s="84"/>
      <c r="I30" s="55">
        <f t="shared" si="0"/>
        <v>0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0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97"/>
      <c r="D31" s="81"/>
      <c r="E31" s="81"/>
      <c r="F31" s="83"/>
      <c r="G31" s="52"/>
      <c r="H31" s="84"/>
      <c r="I31" s="55">
        <f t="shared" si="0"/>
        <v>0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0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97"/>
      <c r="D32" s="81"/>
      <c r="E32" s="81"/>
      <c r="F32" s="83"/>
      <c r="G32" s="52"/>
      <c r="H32" s="84"/>
      <c r="I32" s="55">
        <f t="shared" si="0"/>
        <v>0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0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97"/>
      <c r="D33" s="81"/>
      <c r="E33" s="81"/>
      <c r="F33" s="83"/>
      <c r="G33" s="52"/>
      <c r="H33" s="84"/>
      <c r="I33" s="55">
        <f t="shared" si="0"/>
        <v>0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97"/>
      <c r="D34" s="81"/>
      <c r="E34" s="81"/>
      <c r="F34" s="83"/>
      <c r="G34" s="52"/>
      <c r="H34" s="84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97"/>
      <c r="D35" s="81"/>
      <c r="E35" s="81"/>
      <c r="F35" s="83"/>
      <c r="G35" s="52"/>
      <c r="H35" s="84"/>
      <c r="I35" s="55">
        <f t="shared" si="0"/>
        <v>0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0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97"/>
      <c r="D36" s="81"/>
      <c r="E36" s="81"/>
      <c r="F36" s="83"/>
      <c r="G36" s="52"/>
      <c r="H36" s="84"/>
      <c r="I36" s="55">
        <f t="shared" si="0"/>
        <v>0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0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87"/>
      <c r="D37" s="81"/>
      <c r="E37" s="81"/>
      <c r="F37" s="83"/>
      <c r="G37" s="52"/>
      <c r="H37" s="84"/>
      <c r="I37" s="55">
        <f t="shared" si="0"/>
        <v>0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0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97"/>
      <c r="D38" s="81"/>
      <c r="E38" s="81"/>
      <c r="F38" s="83"/>
      <c r="G38" s="52"/>
      <c r="H38" s="84"/>
      <c r="I38" s="55">
        <f t="shared" si="0"/>
        <v>0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97"/>
      <c r="D39" s="81"/>
      <c r="E39" s="81"/>
      <c r="F39" s="83"/>
      <c r="G39" s="52"/>
      <c r="H39" s="84"/>
      <c r="I39" s="55">
        <f t="shared" si="0"/>
        <v>0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0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97"/>
      <c r="D40" s="81"/>
      <c r="E40" s="81"/>
      <c r="F40" s="83"/>
      <c r="G40" s="52"/>
      <c r="H40" s="84"/>
      <c r="I40" s="55">
        <f t="shared" si="0"/>
        <v>0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97"/>
      <c r="D41" s="81"/>
      <c r="E41" s="81"/>
      <c r="F41" s="83"/>
      <c r="G41" s="52"/>
      <c r="H41" s="84"/>
      <c r="I41" s="55">
        <f t="shared" si="0"/>
        <v>0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0</v>
      </c>
    </row>
    <row r="42" spans="2:88" ht="12.75" customHeight="1">
      <c r="B42" s="26">
        <f t="shared" si="2"/>
        <v>34</v>
      </c>
      <c r="C42" s="87"/>
      <c r="D42" s="81"/>
      <c r="E42" s="81"/>
      <c r="F42" s="83"/>
      <c r="G42" s="52"/>
      <c r="H42" s="84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</v>
      </c>
    </row>
    <row r="43" spans="2:88" ht="12.75" customHeight="1">
      <c r="B43" s="26">
        <f t="shared" si="2"/>
        <v>35</v>
      </c>
      <c r="C43" s="97"/>
      <c r="D43" s="81"/>
      <c r="E43" s="81"/>
      <c r="F43" s="83"/>
      <c r="G43" s="52"/>
      <c r="H43" s="84"/>
      <c r="I43" s="55">
        <f t="shared" si="0"/>
        <v>0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0</v>
      </c>
    </row>
    <row r="44" spans="2:88" ht="12.75" customHeight="1">
      <c r="B44" s="26">
        <f t="shared" si="2"/>
        <v>36</v>
      </c>
      <c r="C44" s="97"/>
      <c r="D44" s="81"/>
      <c r="E44" s="81"/>
      <c r="F44" s="83"/>
      <c r="G44" s="52"/>
      <c r="H44" s="84"/>
      <c r="I44" s="55">
        <f t="shared" si="0"/>
        <v>0</v>
      </c>
      <c r="J44" s="59"/>
      <c r="K44" s="4"/>
      <c r="L44" s="16"/>
      <c r="M44" s="34"/>
      <c r="N44" s="34"/>
      <c r="O44" s="4"/>
      <c r="P44" s="4"/>
      <c r="Q44" s="4"/>
      <c r="AK44" s="44">
        <f t="shared" si="1"/>
        <v>0</v>
      </c>
    </row>
    <row r="45" spans="2:88" ht="12.75" customHeight="1">
      <c r="B45" s="26">
        <f t="shared" si="2"/>
        <v>37</v>
      </c>
      <c r="C45" s="97"/>
      <c r="D45" s="81"/>
      <c r="E45" s="81"/>
      <c r="F45" s="83"/>
      <c r="G45" s="52"/>
      <c r="H45" s="84"/>
      <c r="I45" s="55">
        <f t="shared" si="0"/>
        <v>0</v>
      </c>
      <c r="J45" s="59"/>
      <c r="K45" s="4"/>
      <c r="L45" s="16"/>
      <c r="M45" s="34"/>
      <c r="N45" s="16"/>
      <c r="O45" s="4"/>
      <c r="P45" s="4"/>
      <c r="Q45" s="4"/>
      <c r="AK45" s="44">
        <f t="shared" si="1"/>
        <v>0</v>
      </c>
    </row>
    <row r="46" spans="2:88" ht="12.75" customHeight="1">
      <c r="B46" s="26">
        <f t="shared" si="2"/>
        <v>38</v>
      </c>
      <c r="C46" s="97"/>
      <c r="D46" s="81"/>
      <c r="E46" s="81"/>
      <c r="F46" s="83"/>
      <c r="G46" s="52"/>
      <c r="H46" s="84"/>
      <c r="I46" s="55">
        <f t="shared" si="0"/>
        <v>0</v>
      </c>
      <c r="J46" s="59"/>
      <c r="K46" s="4"/>
      <c r="L46" s="16"/>
      <c r="M46" s="34"/>
      <c r="N46" s="34"/>
      <c r="O46" s="4"/>
      <c r="P46" s="4"/>
      <c r="Q46" s="4"/>
      <c r="AK46" s="44">
        <f t="shared" si="1"/>
        <v>0</v>
      </c>
    </row>
    <row r="47" spans="2:88" ht="12.75" customHeight="1">
      <c r="B47" s="26">
        <f t="shared" si="2"/>
        <v>39</v>
      </c>
      <c r="C47" s="97"/>
      <c r="D47" s="81"/>
      <c r="E47" s="81"/>
      <c r="F47" s="83"/>
      <c r="G47" s="52"/>
      <c r="H47" s="84"/>
      <c r="I47" s="55">
        <f t="shared" si="0"/>
        <v>0</v>
      </c>
      <c r="J47" s="59"/>
      <c r="K47" s="4"/>
      <c r="L47" s="16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97"/>
      <c r="D48" s="81"/>
      <c r="E48" s="81"/>
      <c r="F48" s="83"/>
      <c r="G48" s="52"/>
      <c r="H48" s="84"/>
      <c r="I48" s="55">
        <f t="shared" si="0"/>
        <v>0</v>
      </c>
      <c r="J48" s="59"/>
      <c r="K48" s="4"/>
      <c r="M48" s="4"/>
      <c r="N48" s="4"/>
      <c r="O48" s="4"/>
      <c r="P48" s="4"/>
      <c r="Q48" s="4"/>
      <c r="AK48" s="44">
        <f t="shared" si="1"/>
        <v>0</v>
      </c>
    </row>
    <row r="49" spans="2:37" ht="12.75" customHeight="1">
      <c r="B49" s="26">
        <f t="shared" si="2"/>
        <v>41</v>
      </c>
      <c r="C49" s="97"/>
      <c r="D49" s="81"/>
      <c r="E49" s="81"/>
      <c r="F49" s="83"/>
      <c r="G49" s="52"/>
      <c r="H49" s="84"/>
      <c r="I49" s="55">
        <f t="shared" si="0"/>
        <v>0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0</v>
      </c>
    </row>
    <row r="50" spans="2:37" ht="12.75" customHeight="1">
      <c r="B50" s="26">
        <f t="shared" si="2"/>
        <v>42</v>
      </c>
      <c r="C50" s="87"/>
      <c r="D50" s="81"/>
      <c r="E50" s="81"/>
      <c r="F50" s="83"/>
      <c r="G50" s="52"/>
      <c r="H50" s="84"/>
      <c r="I50" s="55">
        <f t="shared" si="0"/>
        <v>0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</v>
      </c>
    </row>
    <row r="51" spans="2:37" ht="12.75" customHeight="1">
      <c r="B51" s="26">
        <f t="shared" si="2"/>
        <v>43</v>
      </c>
      <c r="C51" s="97"/>
      <c r="D51" s="81"/>
      <c r="E51" s="81"/>
      <c r="F51" s="83"/>
      <c r="G51" s="52"/>
      <c r="H51" s="84"/>
      <c r="I51" s="55">
        <f t="shared" si="0"/>
        <v>0</v>
      </c>
      <c r="J51" s="59"/>
      <c r="L51" s="4"/>
      <c r="M51" s="4"/>
      <c r="N51" s="4"/>
      <c r="O51" s="4"/>
      <c r="P51" s="4"/>
      <c r="Q51" s="4"/>
      <c r="AK51" s="44">
        <f t="shared" si="1"/>
        <v>0</v>
      </c>
    </row>
    <row r="52" spans="2:37" ht="12.75" customHeight="1">
      <c r="B52" s="26">
        <f t="shared" si="2"/>
        <v>44</v>
      </c>
      <c r="C52" s="97"/>
      <c r="D52" s="81"/>
      <c r="E52" s="81"/>
      <c r="F52" s="83"/>
      <c r="G52" s="52"/>
      <c r="H52" s="84"/>
      <c r="I52" s="55">
        <f t="shared" si="0"/>
        <v>0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0</v>
      </c>
    </row>
    <row r="53" spans="2:37" ht="12.75" customHeight="1">
      <c r="B53" s="26">
        <f t="shared" si="2"/>
        <v>45</v>
      </c>
      <c r="C53" s="97"/>
      <c r="D53" s="81"/>
      <c r="E53" s="81"/>
      <c r="F53" s="83"/>
      <c r="G53" s="52"/>
      <c r="H53" s="84"/>
      <c r="I53" s="55">
        <f t="shared" si="0"/>
        <v>0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0</v>
      </c>
    </row>
    <row r="54" spans="2:37" ht="12.75" customHeight="1">
      <c r="B54" s="26">
        <f t="shared" si="2"/>
        <v>46</v>
      </c>
      <c r="C54" s="97"/>
      <c r="D54" s="81"/>
      <c r="E54" s="81"/>
      <c r="F54" s="83"/>
      <c r="G54" s="52"/>
      <c r="H54" s="84"/>
      <c r="I54" s="55">
        <f t="shared" si="0"/>
        <v>0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0</v>
      </c>
    </row>
    <row r="55" spans="2:37" ht="12.75" customHeight="1">
      <c r="B55" s="26">
        <f t="shared" si="2"/>
        <v>47</v>
      </c>
      <c r="C55" s="97"/>
      <c r="D55" s="81"/>
      <c r="E55" s="81"/>
      <c r="F55" s="83"/>
      <c r="G55" s="52"/>
      <c r="H55" s="84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97"/>
      <c r="D56" s="81"/>
      <c r="E56" s="81"/>
      <c r="F56" s="83"/>
      <c r="G56" s="52"/>
      <c r="H56" s="84"/>
      <c r="I56" s="55">
        <f t="shared" si="0"/>
        <v>0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0</v>
      </c>
    </row>
    <row r="57" spans="2:37" ht="12.75" customHeight="1">
      <c r="B57" s="26">
        <f t="shared" si="2"/>
        <v>49</v>
      </c>
      <c r="C57" s="87"/>
      <c r="D57" s="81"/>
      <c r="E57" s="81"/>
      <c r="F57" s="83"/>
      <c r="G57" s="52"/>
      <c r="H57" s="84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97"/>
      <c r="D58" s="81"/>
      <c r="E58" s="81"/>
      <c r="F58" s="83"/>
      <c r="G58" s="52"/>
      <c r="H58" s="84"/>
      <c r="I58" s="55">
        <f t="shared" si="0"/>
        <v>0</v>
      </c>
      <c r="J58" s="59"/>
      <c r="K58" s="4"/>
      <c r="L58" s="4"/>
      <c r="M58" s="4"/>
      <c r="N58" s="4"/>
      <c r="O58" s="4"/>
      <c r="P58" s="4"/>
      <c r="Q58" s="4"/>
      <c r="AK58" s="44">
        <f t="shared" si="1"/>
        <v>0</v>
      </c>
    </row>
    <row r="59" spans="2:37" ht="13.5" thickBot="1">
      <c r="G59" s="46"/>
      <c r="H59" s="88" t="s">
        <v>90</v>
      </c>
      <c r="I59" s="89">
        <f>SUM(I9:I58)</f>
        <v>24422.529026000007</v>
      </c>
      <c r="AK59" s="44">
        <f t="shared" si="1"/>
        <v>0</v>
      </c>
    </row>
    <row r="60" spans="2:37">
      <c r="I60" s="90"/>
    </row>
    <row r="63" spans="2:37">
      <c r="I63" s="90">
        <f>I59/2000</f>
        <v>12.211264513000003</v>
      </c>
    </row>
  </sheetData>
  <mergeCells count="5">
    <mergeCell ref="C1:H2"/>
    <mergeCell ref="D4:I4"/>
    <mergeCell ref="D5:I5"/>
    <mergeCell ref="D6:I6"/>
    <mergeCell ref="C9:D9"/>
  </mergeCells>
  <dataValidations count="7">
    <dataValidation type="list" allowBlank="1" showInputMessage="1" showErrorMessage="1" sqref="J9:J58">
      <formula1>"A-615 GR-60,A-615 GR-40,A706 GR-60"</formula1>
    </dataValidation>
    <dataValidation type="list" allowBlank="1" showInputMessage="1" showErrorMessage="1" sqref="G9:G17 G28:G58">
      <formula1>$CL$15:$CL$24</formula1>
    </dataValidation>
    <dataValidation type="list" allowBlank="1" showInputMessage="1" showErrorMessage="1" sqref="F9:F17 F28:F58">
      <formula1>$CI$16:$CI$38</formula1>
    </dataValidation>
    <dataValidation type="list" allowBlank="1" showInputMessage="1" showErrorMessage="1" sqref="F22:F26">
      <formula1>$CI$10:$CI$22</formula1>
    </dataValidation>
    <dataValidation type="list" allowBlank="1" showInputMessage="1" showErrorMessage="1" sqref="G22:G26">
      <formula1>$CL$12:$CL$22</formula1>
    </dataValidation>
    <dataValidation type="list" allowBlank="1" showInputMessage="1" showErrorMessage="1" sqref="G18:G21 G27">
      <formula1>$CL$16:$CL$26</formula1>
    </dataValidation>
    <dataValidation type="list" allowBlank="1" showInputMessage="1" showErrorMessage="1" sqref="F18:F21 F27">
      <formula1>$CI$17:$CI$40</formula1>
    </dataValidation>
  </dataValidations>
  <hyperlinks>
    <hyperlink ref="C11" r:id="rId1" display="#4@16&quot; BOT EW"/>
  </hyperlinks>
  <printOptions horizontalCentered="1" verticalCentered="1"/>
  <pageMargins left="0.6" right="0.6" top="0" bottom="0.5" header="0.5" footer="0.5"/>
  <pageSetup paperSize="9" scale="90" orientation="portrait" r:id="rId2"/>
  <headerFooter alignWithMargins="0">
    <oddFooter>&amp;LSimsona Corp Estimation&amp;RPage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CZ498"/>
  <sheetViews>
    <sheetView view="pageBreakPreview" zoomScaleSheetLayoutView="100" workbookViewId="0">
      <pane ySplit="8" topLeftCell="A9" activePane="bottomLeft" state="frozen"/>
      <selection activeCell="M361" sqref="M361"/>
      <selection pane="bottomLeft" activeCell="D14" sqref="D14"/>
    </sheetView>
  </sheetViews>
  <sheetFormatPr defaultRowHeight="12.75"/>
  <cols>
    <col min="1" max="1" width="1.28515625" style="44" customWidth="1"/>
    <col min="2" max="2" width="6.5703125" style="44" customWidth="1"/>
    <col min="3" max="3" width="39" style="44" customWidth="1"/>
    <col min="4" max="6" width="7.7109375" style="44" customWidth="1"/>
    <col min="7" max="8" width="9.7109375" style="44" customWidth="1"/>
    <col min="9" max="9" width="11.7109375" style="45" customWidth="1"/>
    <col min="10" max="10" width="11.7109375" style="44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133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40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D7" s="102"/>
      <c r="E7" s="46"/>
    </row>
    <row r="8" spans="2:90" ht="24" customHeight="1" thickBot="1">
      <c r="B8" s="103" t="s">
        <v>43</v>
      </c>
      <c r="C8" s="104" t="s">
        <v>44</v>
      </c>
      <c r="D8" s="105" t="s">
        <v>45</v>
      </c>
      <c r="E8" s="105" t="s">
        <v>46</v>
      </c>
      <c r="F8" s="105" t="s">
        <v>47</v>
      </c>
      <c r="G8" s="105" t="s">
        <v>48</v>
      </c>
      <c r="H8" s="105" t="s">
        <v>49</v>
      </c>
      <c r="I8" s="105" t="s">
        <v>50</v>
      </c>
      <c r="J8" s="49" t="s">
        <v>51</v>
      </c>
      <c r="K8" s="106">
        <f>I413</f>
        <v>20.653670279999986</v>
      </c>
      <c r="AK8" s="51" t="s">
        <v>52</v>
      </c>
    </row>
    <row r="9" spans="2:90">
      <c r="B9" s="107">
        <f>IF(B8="SL.NO",1,B8+1)</f>
        <v>1</v>
      </c>
      <c r="C9" s="108" t="s">
        <v>53</v>
      </c>
      <c r="D9" s="81"/>
      <c r="E9" s="81"/>
      <c r="F9" s="81"/>
      <c r="G9" s="24"/>
      <c r="H9" s="25"/>
      <c r="I9" s="54">
        <f t="shared" ref="I9:I72" si="0">IF(D9="",AK9*H9*E9,AK9*H9*E9*D9)</f>
        <v>0</v>
      </c>
      <c r="J9" s="56"/>
      <c r="AK9" s="44">
        <f t="shared" ref="AK9:AK72" si="1">IF(F9="",0,VLOOKUP(F9,$CI$16:$CJ$38,2,FALSE))</f>
        <v>0</v>
      </c>
    </row>
    <row r="10" spans="2:90">
      <c r="B10" s="107">
        <f t="shared" ref="B10:B73" si="2">IF(B9="SL.NO",1,B9+1)</f>
        <v>2</v>
      </c>
      <c r="C10" s="38" t="s">
        <v>134</v>
      </c>
      <c r="D10" s="81"/>
      <c r="E10" s="81"/>
      <c r="F10" s="67"/>
      <c r="G10" s="52"/>
      <c r="H10" s="84"/>
      <c r="I10" s="84">
        <f t="shared" si="0"/>
        <v>0</v>
      </c>
      <c r="J10" s="59"/>
      <c r="AK10" s="44">
        <f t="shared" si="1"/>
        <v>0</v>
      </c>
    </row>
    <row r="11" spans="2:90">
      <c r="B11" s="107">
        <f t="shared" si="2"/>
        <v>3</v>
      </c>
      <c r="C11" s="38" t="s">
        <v>135</v>
      </c>
      <c r="D11" s="81"/>
      <c r="E11" s="81"/>
      <c r="F11" s="67"/>
      <c r="G11" s="122"/>
      <c r="H11" s="84"/>
      <c r="I11" s="84">
        <f t="shared" si="0"/>
        <v>0</v>
      </c>
      <c r="J11" s="59"/>
      <c r="K11" s="16"/>
      <c r="AK11" s="44">
        <f t="shared" si="1"/>
        <v>0</v>
      </c>
    </row>
    <row r="12" spans="2:90">
      <c r="B12" s="107">
        <f t="shared" si="2"/>
        <v>4</v>
      </c>
      <c r="C12" s="41" t="s">
        <v>136</v>
      </c>
      <c r="D12" s="81"/>
      <c r="E12" s="81">
        <v>6</v>
      </c>
      <c r="F12" s="67">
        <v>10</v>
      </c>
      <c r="G12" s="122" t="s">
        <v>57</v>
      </c>
      <c r="H12" s="84">
        <f>(144.4-134.5+4.5-0.25-0.16+1)</f>
        <v>14.990000000000006</v>
      </c>
      <c r="I12" s="84">
        <f t="shared" si="0"/>
        <v>387.01182000000017</v>
      </c>
      <c r="J12" s="59"/>
      <c r="K12" s="50"/>
      <c r="L12" s="46"/>
      <c r="AK12" s="44">
        <f t="shared" si="1"/>
        <v>4.3029999999999999</v>
      </c>
    </row>
    <row r="13" spans="2:90">
      <c r="B13" s="107">
        <f t="shared" si="2"/>
        <v>5</v>
      </c>
      <c r="C13" s="41" t="s">
        <v>137</v>
      </c>
      <c r="D13" s="81"/>
      <c r="E13" s="81">
        <f>TRUNC(8.74/0.33+1.9)</f>
        <v>28</v>
      </c>
      <c r="F13" s="67">
        <v>3</v>
      </c>
      <c r="G13" s="122" t="s">
        <v>65</v>
      </c>
      <c r="H13" s="84">
        <v>5.66</v>
      </c>
      <c r="I13" s="84">
        <f t="shared" si="0"/>
        <v>59.588480000000004</v>
      </c>
      <c r="J13" s="59"/>
      <c r="AK13" s="44">
        <f t="shared" si="1"/>
        <v>0.376</v>
      </c>
    </row>
    <row r="14" spans="2:90" ht="13.5" thickBot="1">
      <c r="B14" s="107">
        <f t="shared" si="2"/>
        <v>6</v>
      </c>
      <c r="C14" s="41" t="s">
        <v>138</v>
      </c>
      <c r="D14" s="81"/>
      <c r="E14" s="81">
        <f>TRUNC(8.74/0.33+1.9)</f>
        <v>28</v>
      </c>
      <c r="F14" s="67">
        <v>3</v>
      </c>
      <c r="G14" s="122" t="s">
        <v>65</v>
      </c>
      <c r="H14" s="84">
        <v>1.42</v>
      </c>
      <c r="I14" s="84">
        <f t="shared" si="0"/>
        <v>14.949759999999998</v>
      </c>
      <c r="J14" s="59"/>
      <c r="L14" s="16"/>
      <c r="AK14" s="44">
        <f t="shared" si="1"/>
        <v>0.376</v>
      </c>
    </row>
    <row r="15" spans="2:90">
      <c r="B15" s="107">
        <f t="shared" si="2"/>
        <v>7</v>
      </c>
      <c r="C15" s="38" t="s">
        <v>139</v>
      </c>
      <c r="D15" s="81"/>
      <c r="E15" s="81"/>
      <c r="F15" s="67"/>
      <c r="G15" s="122"/>
      <c r="H15" s="84"/>
      <c r="I15" s="84">
        <f t="shared" si="0"/>
        <v>0</v>
      </c>
      <c r="J15" s="59"/>
      <c r="L15" s="16"/>
      <c r="AK15" s="44">
        <f t="shared" si="1"/>
        <v>0</v>
      </c>
      <c r="CI15" s="60" t="s">
        <v>47</v>
      </c>
      <c r="CJ15" s="61" t="s">
        <v>52</v>
      </c>
      <c r="CL15" s="16" t="s">
        <v>61</v>
      </c>
    </row>
    <row r="16" spans="2:90">
      <c r="B16" s="107">
        <f t="shared" si="2"/>
        <v>8</v>
      </c>
      <c r="C16" s="41" t="s">
        <v>136</v>
      </c>
      <c r="D16" s="81"/>
      <c r="E16" s="81">
        <v>6</v>
      </c>
      <c r="F16" s="67">
        <v>10</v>
      </c>
      <c r="G16" s="122" t="s">
        <v>57</v>
      </c>
      <c r="H16" s="84">
        <f>155.7-144.4+4.5-0.16*2</f>
        <v>15.479999999999983</v>
      </c>
      <c r="I16" s="84">
        <f t="shared" si="0"/>
        <v>399.66263999999956</v>
      </c>
      <c r="J16" s="59"/>
      <c r="AK16" s="44">
        <f t="shared" si="1"/>
        <v>4.3029999999999999</v>
      </c>
      <c r="CI16" s="63">
        <v>3</v>
      </c>
      <c r="CJ16" s="64">
        <v>0.376</v>
      </c>
      <c r="CL16" s="16" t="s">
        <v>57</v>
      </c>
    </row>
    <row r="17" spans="2:90">
      <c r="B17" s="107">
        <f t="shared" si="2"/>
        <v>9</v>
      </c>
      <c r="C17" s="41" t="s">
        <v>137</v>
      </c>
      <c r="D17" s="81"/>
      <c r="E17" s="81">
        <f>TRUNC(9.04/0.33+1.9)</f>
        <v>29</v>
      </c>
      <c r="F17" s="67">
        <v>3</v>
      </c>
      <c r="G17" s="122" t="s">
        <v>65</v>
      </c>
      <c r="H17" s="84">
        <v>5.66</v>
      </c>
      <c r="I17" s="84">
        <f t="shared" si="0"/>
        <v>61.716640000000005</v>
      </c>
      <c r="J17" s="59"/>
      <c r="AK17" s="44">
        <f t="shared" si="1"/>
        <v>0.376</v>
      </c>
      <c r="CI17" s="63" t="s">
        <v>64</v>
      </c>
      <c r="CJ17" s="64">
        <v>0.376</v>
      </c>
      <c r="CL17" s="16" t="s">
        <v>65</v>
      </c>
    </row>
    <row r="18" spans="2:90">
      <c r="B18" s="107">
        <f t="shared" si="2"/>
        <v>10</v>
      </c>
      <c r="C18" s="41" t="s">
        <v>138</v>
      </c>
      <c r="D18" s="81"/>
      <c r="E18" s="81">
        <f>TRUNC(9.04/0.33+1.9)</f>
        <v>29</v>
      </c>
      <c r="F18" s="67">
        <v>3</v>
      </c>
      <c r="G18" s="122" t="s">
        <v>65</v>
      </c>
      <c r="H18" s="84">
        <v>1.42</v>
      </c>
      <c r="I18" s="84">
        <f t="shared" si="0"/>
        <v>15.483679999999998</v>
      </c>
      <c r="J18" s="59"/>
      <c r="O18" s="34"/>
      <c r="AK18" s="44">
        <f t="shared" si="1"/>
        <v>0.376</v>
      </c>
      <c r="CI18" s="63">
        <v>4</v>
      </c>
      <c r="CJ18" s="64">
        <v>0.66800000000000004</v>
      </c>
      <c r="CL18" s="16" t="s">
        <v>65</v>
      </c>
    </row>
    <row r="19" spans="2:90">
      <c r="B19" s="107">
        <f t="shared" si="2"/>
        <v>11</v>
      </c>
      <c r="C19" s="38" t="s">
        <v>140</v>
      </c>
      <c r="D19" s="81"/>
      <c r="E19" s="81"/>
      <c r="F19" s="67"/>
      <c r="G19" s="122"/>
      <c r="H19" s="84"/>
      <c r="I19" s="84">
        <f t="shared" si="0"/>
        <v>0</v>
      </c>
      <c r="J19" s="109"/>
      <c r="K19" s="16"/>
      <c r="L19" s="16"/>
      <c r="M19" s="34"/>
      <c r="AK19" s="44">
        <f t="shared" si="1"/>
        <v>0</v>
      </c>
      <c r="CI19" s="63" t="s">
        <v>68</v>
      </c>
      <c r="CJ19" s="64">
        <v>0.66800000000000004</v>
      </c>
      <c r="CL19" s="16" t="s">
        <v>69</v>
      </c>
    </row>
    <row r="20" spans="2:90">
      <c r="B20" s="107">
        <f t="shared" si="2"/>
        <v>12</v>
      </c>
      <c r="C20" s="41" t="s">
        <v>141</v>
      </c>
      <c r="D20" s="81"/>
      <c r="E20" s="81">
        <v>6</v>
      </c>
      <c r="F20" s="67">
        <v>10</v>
      </c>
      <c r="G20" s="122" t="s">
        <v>65</v>
      </c>
      <c r="H20" s="84">
        <f>168.75-155.7-0.16-0.16+2</f>
        <v>14.730000000000011</v>
      </c>
      <c r="I20" s="84">
        <f t="shared" si="0"/>
        <v>380.29914000000031</v>
      </c>
      <c r="J20" s="59"/>
      <c r="K20" s="16"/>
      <c r="L20" s="16"/>
      <c r="O20" s="34"/>
      <c r="AK20" s="44">
        <f t="shared" si="1"/>
        <v>4.3029999999999999</v>
      </c>
      <c r="CI20" s="63">
        <v>5</v>
      </c>
      <c r="CJ20" s="64">
        <v>1.0429999999999999</v>
      </c>
      <c r="CL20" s="16" t="s">
        <v>71</v>
      </c>
    </row>
    <row r="21" spans="2:90">
      <c r="B21" s="107">
        <f t="shared" si="2"/>
        <v>13</v>
      </c>
      <c r="C21" s="41" t="s">
        <v>137</v>
      </c>
      <c r="D21" s="81"/>
      <c r="E21" s="81">
        <f>TRUNC(10.63/0.33+1.9)</f>
        <v>34</v>
      </c>
      <c r="F21" s="67">
        <v>3</v>
      </c>
      <c r="G21" s="122" t="s">
        <v>65</v>
      </c>
      <c r="H21" s="84">
        <v>5.66</v>
      </c>
      <c r="I21" s="84">
        <f t="shared" si="0"/>
        <v>72.357440000000011</v>
      </c>
      <c r="J21" s="59"/>
      <c r="K21" s="16"/>
      <c r="L21" s="16"/>
      <c r="M21" s="34"/>
      <c r="AK21" s="44">
        <f t="shared" si="1"/>
        <v>0.376</v>
      </c>
      <c r="CI21" s="63" t="s">
        <v>73</v>
      </c>
      <c r="CJ21" s="64">
        <v>1.0429999999999999</v>
      </c>
      <c r="CL21" s="16" t="s">
        <v>74</v>
      </c>
    </row>
    <row r="22" spans="2:90">
      <c r="B22" s="107">
        <f t="shared" si="2"/>
        <v>14</v>
      </c>
      <c r="C22" s="41" t="s">
        <v>138</v>
      </c>
      <c r="D22" s="81"/>
      <c r="E22" s="81">
        <f>TRUNC(10.63/0.33+1.9)</f>
        <v>34</v>
      </c>
      <c r="F22" s="67">
        <v>3</v>
      </c>
      <c r="G22" s="122" t="s">
        <v>65</v>
      </c>
      <c r="H22" s="84">
        <v>1.42</v>
      </c>
      <c r="I22" s="84">
        <f t="shared" si="0"/>
        <v>18.153279999999999</v>
      </c>
      <c r="J22" s="59"/>
      <c r="O22" s="34"/>
      <c r="AK22" s="44">
        <f t="shared" si="1"/>
        <v>0.376</v>
      </c>
      <c r="CI22" s="63">
        <v>6</v>
      </c>
      <c r="CJ22" s="71">
        <v>1.502</v>
      </c>
      <c r="CL22" s="16" t="s">
        <v>76</v>
      </c>
    </row>
    <row r="23" spans="2:90">
      <c r="B23" s="107">
        <f t="shared" si="2"/>
        <v>15</v>
      </c>
      <c r="C23" s="38" t="s">
        <v>134</v>
      </c>
      <c r="D23" s="81"/>
      <c r="E23" s="81"/>
      <c r="F23" s="67"/>
      <c r="G23" s="122"/>
      <c r="H23" s="84"/>
      <c r="I23" s="84">
        <f t="shared" si="0"/>
        <v>0</v>
      </c>
      <c r="J23" s="59"/>
      <c r="M23" s="34"/>
      <c r="AK23" s="44">
        <f t="shared" si="1"/>
        <v>0</v>
      </c>
      <c r="CI23" s="63" t="s">
        <v>78</v>
      </c>
      <c r="CJ23" s="71">
        <v>1.502</v>
      </c>
      <c r="CL23" s="16" t="s">
        <v>79</v>
      </c>
    </row>
    <row r="24" spans="2:90">
      <c r="B24" s="107">
        <f t="shared" si="2"/>
        <v>16</v>
      </c>
      <c r="C24" s="38" t="s">
        <v>142</v>
      </c>
      <c r="D24" s="81"/>
      <c r="E24" s="81"/>
      <c r="F24" s="67"/>
      <c r="G24" s="122"/>
      <c r="H24" s="84"/>
      <c r="I24" s="84">
        <f t="shared" si="0"/>
        <v>0</v>
      </c>
      <c r="J24" s="59"/>
      <c r="L24" s="16"/>
      <c r="M24" s="34"/>
      <c r="AK24" s="44">
        <f t="shared" si="1"/>
        <v>0</v>
      </c>
      <c r="CI24" s="63">
        <v>7</v>
      </c>
      <c r="CJ24" s="71">
        <v>2.044</v>
      </c>
      <c r="CL24" s="16" t="s">
        <v>81</v>
      </c>
    </row>
    <row r="25" spans="2:90">
      <c r="B25" s="107">
        <f>IF(B24="SL.NO",1,B24+1)</f>
        <v>17</v>
      </c>
      <c r="C25" s="41" t="s">
        <v>136</v>
      </c>
      <c r="D25" s="81"/>
      <c r="E25" s="81">
        <v>6</v>
      </c>
      <c r="F25" s="67">
        <v>10</v>
      </c>
      <c r="G25" s="122" t="s">
        <v>57</v>
      </c>
      <c r="H25" s="84">
        <f>145.8-135.8+4.5-0.25-0.16+1</f>
        <v>15.09</v>
      </c>
      <c r="I25" s="84">
        <f t="shared" si="0"/>
        <v>389.59361999999999</v>
      </c>
      <c r="J25" s="59"/>
      <c r="M25" s="34"/>
      <c r="AK25" s="44">
        <f t="shared" si="1"/>
        <v>4.3029999999999999</v>
      </c>
      <c r="CI25" s="63" t="s">
        <v>83</v>
      </c>
      <c r="CJ25" s="71">
        <v>2.044</v>
      </c>
    </row>
    <row r="26" spans="2:90">
      <c r="B26" s="107">
        <f t="shared" si="2"/>
        <v>18</v>
      </c>
      <c r="C26" s="41" t="s">
        <v>137</v>
      </c>
      <c r="D26" s="81"/>
      <c r="E26" s="81">
        <f>TRUNC(8.84/0.33+1.9)</f>
        <v>28</v>
      </c>
      <c r="F26" s="67">
        <v>3</v>
      </c>
      <c r="G26" s="122" t="s">
        <v>65</v>
      </c>
      <c r="H26" s="84">
        <v>5.66</v>
      </c>
      <c r="I26" s="84">
        <f t="shared" si="0"/>
        <v>59.588480000000004</v>
      </c>
      <c r="J26" s="59"/>
      <c r="M26" s="34"/>
      <c r="AK26" s="44">
        <f t="shared" si="1"/>
        <v>0.376</v>
      </c>
      <c r="CI26" s="63">
        <v>8</v>
      </c>
      <c r="CJ26" s="71">
        <v>2.67</v>
      </c>
    </row>
    <row r="27" spans="2:90">
      <c r="B27" s="107">
        <f t="shared" si="2"/>
        <v>19</v>
      </c>
      <c r="C27" s="41" t="s">
        <v>138</v>
      </c>
      <c r="D27" s="81"/>
      <c r="E27" s="81">
        <f>TRUNC(8.84/0.33+1.9)</f>
        <v>28</v>
      </c>
      <c r="F27" s="67">
        <v>3</v>
      </c>
      <c r="G27" s="122" t="s">
        <v>65</v>
      </c>
      <c r="H27" s="84">
        <v>1.42</v>
      </c>
      <c r="I27" s="84">
        <f t="shared" si="0"/>
        <v>14.949759999999998</v>
      </c>
      <c r="J27" s="59"/>
      <c r="M27" s="34"/>
      <c r="AK27" s="44">
        <f t="shared" si="1"/>
        <v>0.376</v>
      </c>
      <c r="CI27" s="63" t="s">
        <v>84</v>
      </c>
      <c r="CJ27" s="71">
        <v>2.67</v>
      </c>
    </row>
    <row r="28" spans="2:90">
      <c r="B28" s="107">
        <f t="shared" si="2"/>
        <v>20</v>
      </c>
      <c r="C28" s="38" t="s">
        <v>143</v>
      </c>
      <c r="D28" s="81"/>
      <c r="E28" s="81"/>
      <c r="F28" s="67"/>
      <c r="G28" s="122"/>
      <c r="H28" s="84"/>
      <c r="I28" s="84">
        <f t="shared" si="0"/>
        <v>0</v>
      </c>
      <c r="J28" s="59"/>
      <c r="M28" s="34"/>
      <c r="AK28" s="44">
        <f t="shared" si="1"/>
        <v>0</v>
      </c>
      <c r="CI28" s="63">
        <v>9</v>
      </c>
      <c r="CJ28" s="71">
        <v>3.4</v>
      </c>
    </row>
    <row r="29" spans="2:90">
      <c r="B29" s="107">
        <f t="shared" si="2"/>
        <v>21</v>
      </c>
      <c r="C29" s="41" t="s">
        <v>136</v>
      </c>
      <c r="D29" s="81"/>
      <c r="E29" s="81">
        <v>6</v>
      </c>
      <c r="F29" s="67">
        <v>10</v>
      </c>
      <c r="G29" s="122" t="s">
        <v>57</v>
      </c>
      <c r="H29" s="84">
        <f>155.7-145.8+4.5-0.16-0.16</f>
        <v>14.079999999999977</v>
      </c>
      <c r="I29" s="84">
        <f t="shared" si="0"/>
        <v>363.5174399999994</v>
      </c>
      <c r="J29" s="59"/>
      <c r="K29" s="45"/>
      <c r="L29" s="45"/>
      <c r="AK29" s="44">
        <f t="shared" si="1"/>
        <v>4.3029999999999999</v>
      </c>
      <c r="CI29" s="63" t="s">
        <v>85</v>
      </c>
      <c r="CJ29" s="71">
        <v>3.4</v>
      </c>
    </row>
    <row r="30" spans="2:90">
      <c r="B30" s="107">
        <f t="shared" si="2"/>
        <v>22</v>
      </c>
      <c r="C30" s="41" t="s">
        <v>137</v>
      </c>
      <c r="D30" s="81"/>
      <c r="E30" s="81">
        <f>TRUNC(7.64/0.33+1.9)</f>
        <v>25</v>
      </c>
      <c r="F30" s="67">
        <v>3</v>
      </c>
      <c r="G30" s="122" t="s">
        <v>65</v>
      </c>
      <c r="H30" s="84">
        <v>5.66</v>
      </c>
      <c r="I30" s="84">
        <f t="shared" si="0"/>
        <v>53.204000000000008</v>
      </c>
      <c r="J30" s="59"/>
      <c r="K30" s="45"/>
      <c r="L30" s="45"/>
      <c r="AK30" s="44">
        <f t="shared" si="1"/>
        <v>0.376</v>
      </c>
      <c r="CI30" s="63">
        <v>10</v>
      </c>
      <c r="CJ30" s="71">
        <v>4.3029999999999999</v>
      </c>
    </row>
    <row r="31" spans="2:90">
      <c r="B31" s="107">
        <f t="shared" si="2"/>
        <v>23</v>
      </c>
      <c r="C31" s="41" t="s">
        <v>138</v>
      </c>
      <c r="D31" s="81"/>
      <c r="E31" s="81">
        <f>TRUNC(7.64/0.33+1.9)</f>
        <v>25</v>
      </c>
      <c r="F31" s="67">
        <v>3</v>
      </c>
      <c r="G31" s="122" t="s">
        <v>65</v>
      </c>
      <c r="H31" s="84">
        <v>1.42</v>
      </c>
      <c r="I31" s="84">
        <f t="shared" si="0"/>
        <v>13.347999999999999</v>
      </c>
      <c r="J31" s="59"/>
      <c r="K31" s="45"/>
      <c r="L31" s="110"/>
      <c r="AK31" s="44">
        <f t="shared" si="1"/>
        <v>0.376</v>
      </c>
      <c r="CI31" s="63" t="s">
        <v>86</v>
      </c>
      <c r="CJ31" s="71">
        <v>4.3029999999999999</v>
      </c>
    </row>
    <row r="32" spans="2:90">
      <c r="B32" s="107">
        <f t="shared" si="2"/>
        <v>24</v>
      </c>
      <c r="C32" s="38" t="s">
        <v>144</v>
      </c>
      <c r="D32" s="81"/>
      <c r="E32" s="81"/>
      <c r="F32" s="67"/>
      <c r="G32" s="122"/>
      <c r="H32" s="84"/>
      <c r="I32" s="84">
        <f t="shared" si="0"/>
        <v>0</v>
      </c>
      <c r="J32" s="59"/>
      <c r="K32" s="45"/>
      <c r="L32" s="45"/>
      <c r="AK32" s="44">
        <f t="shared" si="1"/>
        <v>0</v>
      </c>
      <c r="CI32" s="63">
        <v>11</v>
      </c>
      <c r="CJ32" s="71">
        <v>5.3129999999999997</v>
      </c>
    </row>
    <row r="33" spans="2:88">
      <c r="B33" s="107">
        <f t="shared" si="2"/>
        <v>25</v>
      </c>
      <c r="C33" s="41" t="s">
        <v>141</v>
      </c>
      <c r="D33" s="81"/>
      <c r="E33" s="81">
        <v>6</v>
      </c>
      <c r="F33" s="67">
        <v>10</v>
      </c>
      <c r="G33" s="122" t="s">
        <v>65</v>
      </c>
      <c r="H33" s="84">
        <f>168.75-155.7-0.16-0.16+2</f>
        <v>14.730000000000011</v>
      </c>
      <c r="I33" s="84">
        <f t="shared" si="0"/>
        <v>380.29914000000031</v>
      </c>
      <c r="J33" s="59"/>
      <c r="K33" s="45"/>
      <c r="L33" s="45"/>
      <c r="AK33" s="44">
        <f t="shared" si="1"/>
        <v>4.3029999999999999</v>
      </c>
      <c r="CI33" s="63" t="s">
        <v>87</v>
      </c>
      <c r="CJ33" s="71">
        <v>5.3129999999999997</v>
      </c>
    </row>
    <row r="34" spans="2:88">
      <c r="B34" s="107">
        <f t="shared" si="2"/>
        <v>26</v>
      </c>
      <c r="C34" s="41" t="s">
        <v>137</v>
      </c>
      <c r="D34" s="81"/>
      <c r="E34" s="81">
        <f>TRUNC(10.63/0.33+1.9)</f>
        <v>34</v>
      </c>
      <c r="F34" s="67">
        <v>3</v>
      </c>
      <c r="G34" s="122" t="s">
        <v>65</v>
      </c>
      <c r="H34" s="84">
        <v>5.66</v>
      </c>
      <c r="I34" s="84">
        <f t="shared" si="0"/>
        <v>72.357440000000011</v>
      </c>
      <c r="J34" s="59"/>
      <c r="M34" s="34"/>
      <c r="AK34" s="44">
        <f t="shared" si="1"/>
        <v>0.376</v>
      </c>
      <c r="CI34" s="63">
        <v>14</v>
      </c>
      <c r="CJ34" s="71">
        <v>7.65</v>
      </c>
    </row>
    <row r="35" spans="2:88">
      <c r="B35" s="107">
        <f t="shared" si="2"/>
        <v>27</v>
      </c>
      <c r="C35" s="41" t="s">
        <v>138</v>
      </c>
      <c r="D35" s="81"/>
      <c r="E35" s="81">
        <f>TRUNC(10.63/0.33+1.9)</f>
        <v>34</v>
      </c>
      <c r="F35" s="67">
        <v>3</v>
      </c>
      <c r="G35" s="122" t="s">
        <v>65</v>
      </c>
      <c r="H35" s="84">
        <v>1.42</v>
      </c>
      <c r="I35" s="84">
        <f t="shared" si="0"/>
        <v>18.153279999999999</v>
      </c>
      <c r="J35" s="59"/>
      <c r="M35" s="34"/>
      <c r="AK35" s="44">
        <f t="shared" si="1"/>
        <v>0.376</v>
      </c>
      <c r="CI35" s="63" t="s">
        <v>88</v>
      </c>
      <c r="CJ35" s="71">
        <v>7.65</v>
      </c>
    </row>
    <row r="36" spans="2:88">
      <c r="B36" s="107">
        <f t="shared" si="2"/>
        <v>28</v>
      </c>
      <c r="C36" s="38" t="s">
        <v>134</v>
      </c>
      <c r="D36" s="81"/>
      <c r="E36" s="81"/>
      <c r="F36" s="67"/>
      <c r="G36" s="122"/>
      <c r="H36" s="84"/>
      <c r="I36" s="84">
        <f t="shared" si="0"/>
        <v>0</v>
      </c>
      <c r="J36" s="59"/>
      <c r="K36" s="45"/>
      <c r="L36" s="45"/>
      <c r="AK36" s="44">
        <f t="shared" si="1"/>
        <v>0</v>
      </c>
      <c r="CI36" s="63">
        <v>18</v>
      </c>
      <c r="CJ36" s="71">
        <v>13.6</v>
      </c>
    </row>
    <row r="37" spans="2:88">
      <c r="B37" s="107">
        <f t="shared" si="2"/>
        <v>29</v>
      </c>
      <c r="C37" s="38" t="s">
        <v>145</v>
      </c>
      <c r="D37" s="81"/>
      <c r="E37" s="81"/>
      <c r="F37" s="67"/>
      <c r="G37" s="122"/>
      <c r="H37" s="84"/>
      <c r="I37" s="84">
        <f t="shared" si="0"/>
        <v>0</v>
      </c>
      <c r="J37" s="59"/>
      <c r="K37" s="45"/>
      <c r="L37" s="45"/>
      <c r="AK37" s="44">
        <f t="shared" si="1"/>
        <v>0</v>
      </c>
      <c r="CI37" s="63" t="s">
        <v>89</v>
      </c>
      <c r="CJ37" s="71">
        <v>13.6</v>
      </c>
    </row>
    <row r="38" spans="2:88" ht="13.5" thickBot="1">
      <c r="B38" s="107">
        <f t="shared" si="2"/>
        <v>30</v>
      </c>
      <c r="C38" s="41" t="s">
        <v>136</v>
      </c>
      <c r="D38" s="81"/>
      <c r="E38" s="81">
        <v>6</v>
      </c>
      <c r="F38" s="67">
        <v>10</v>
      </c>
      <c r="G38" s="122" t="s">
        <v>57</v>
      </c>
      <c r="H38" s="84">
        <f>145.8-135.8+4.5-0.25-0.16+1</f>
        <v>15.09</v>
      </c>
      <c r="I38" s="84">
        <f t="shared" si="0"/>
        <v>389.59361999999999</v>
      </c>
      <c r="J38" s="59"/>
      <c r="K38" s="45"/>
      <c r="L38" s="110"/>
      <c r="AK38" s="44">
        <f t="shared" si="1"/>
        <v>4.3029999999999999</v>
      </c>
      <c r="CI38" s="78">
        <v>2</v>
      </c>
      <c r="CJ38" s="79">
        <v>0.17</v>
      </c>
    </row>
    <row r="39" spans="2:88">
      <c r="B39" s="107">
        <f t="shared" si="2"/>
        <v>31</v>
      </c>
      <c r="C39" s="41" t="s">
        <v>137</v>
      </c>
      <c r="D39" s="81"/>
      <c r="E39" s="81">
        <f>TRUNC(8.84/0.33+1.9)</f>
        <v>28</v>
      </c>
      <c r="F39" s="67">
        <v>3</v>
      </c>
      <c r="G39" s="122" t="s">
        <v>65</v>
      </c>
      <c r="H39" s="84">
        <v>5.66</v>
      </c>
      <c r="I39" s="84">
        <f t="shared" si="0"/>
        <v>59.588480000000004</v>
      </c>
      <c r="J39" s="59"/>
      <c r="K39" s="45"/>
      <c r="L39" s="45"/>
      <c r="AK39" s="44">
        <f t="shared" si="1"/>
        <v>0.376</v>
      </c>
    </row>
    <row r="40" spans="2:88">
      <c r="B40" s="107">
        <f t="shared" si="2"/>
        <v>32</v>
      </c>
      <c r="C40" s="41" t="s">
        <v>138</v>
      </c>
      <c r="D40" s="81"/>
      <c r="E40" s="81">
        <f>TRUNC(8.84/0.33+1.9)</f>
        <v>28</v>
      </c>
      <c r="F40" s="67">
        <v>3</v>
      </c>
      <c r="G40" s="122" t="s">
        <v>65</v>
      </c>
      <c r="H40" s="84">
        <v>1.42</v>
      </c>
      <c r="I40" s="84">
        <f t="shared" si="0"/>
        <v>14.949759999999998</v>
      </c>
      <c r="J40" s="59"/>
      <c r="K40" s="45"/>
      <c r="L40" s="45"/>
      <c r="AK40" s="44">
        <f t="shared" si="1"/>
        <v>0.376</v>
      </c>
    </row>
    <row r="41" spans="2:88">
      <c r="B41" s="107">
        <f t="shared" si="2"/>
        <v>33</v>
      </c>
      <c r="C41" s="38" t="s">
        <v>146</v>
      </c>
      <c r="D41" s="81"/>
      <c r="E41" s="81"/>
      <c r="F41" s="67"/>
      <c r="G41" s="122"/>
      <c r="H41" s="84"/>
      <c r="I41" s="84">
        <f t="shared" si="0"/>
        <v>0</v>
      </c>
      <c r="J41" s="59"/>
      <c r="K41" s="110"/>
      <c r="L41" s="45"/>
      <c r="AK41" s="44">
        <f t="shared" si="1"/>
        <v>0</v>
      </c>
    </row>
    <row r="42" spans="2:88">
      <c r="B42" s="107">
        <f t="shared" si="2"/>
        <v>34</v>
      </c>
      <c r="C42" s="41" t="s">
        <v>136</v>
      </c>
      <c r="D42" s="81"/>
      <c r="E42" s="81">
        <v>6</v>
      </c>
      <c r="F42" s="67">
        <v>10</v>
      </c>
      <c r="G42" s="122" t="s">
        <v>57</v>
      </c>
      <c r="H42" s="84">
        <f>155.7-145.8+4.5-0.16*2</f>
        <v>14.079999999999977</v>
      </c>
      <c r="I42" s="84">
        <f t="shared" si="0"/>
        <v>363.5174399999994</v>
      </c>
      <c r="J42" s="59"/>
      <c r="K42" s="45"/>
      <c r="L42" s="45"/>
      <c r="AK42" s="44">
        <f t="shared" si="1"/>
        <v>4.3029999999999999</v>
      </c>
    </row>
    <row r="43" spans="2:88">
      <c r="B43" s="107">
        <f t="shared" si="2"/>
        <v>35</v>
      </c>
      <c r="C43" s="41" t="s">
        <v>137</v>
      </c>
      <c r="D43" s="81"/>
      <c r="E43" s="81">
        <f>TRUNC(6.89/0.33+1.9)</f>
        <v>22</v>
      </c>
      <c r="F43" s="67">
        <v>3</v>
      </c>
      <c r="G43" s="122" t="s">
        <v>65</v>
      </c>
      <c r="H43" s="84">
        <v>5.66</v>
      </c>
      <c r="I43" s="84">
        <f t="shared" si="0"/>
        <v>46.819520000000004</v>
      </c>
      <c r="J43" s="59"/>
      <c r="K43" s="45"/>
      <c r="L43" s="45"/>
      <c r="AK43" s="44">
        <f t="shared" si="1"/>
        <v>0.376</v>
      </c>
    </row>
    <row r="44" spans="2:88">
      <c r="B44" s="107">
        <f t="shared" si="2"/>
        <v>36</v>
      </c>
      <c r="C44" s="41" t="s">
        <v>138</v>
      </c>
      <c r="D44" s="81"/>
      <c r="E44" s="81">
        <f>TRUNC(6.89/0.33+1.9)</f>
        <v>22</v>
      </c>
      <c r="F44" s="67">
        <v>3</v>
      </c>
      <c r="G44" s="122" t="s">
        <v>65</v>
      </c>
      <c r="H44" s="84">
        <v>1.42</v>
      </c>
      <c r="I44" s="84">
        <f t="shared" si="0"/>
        <v>11.746239999999998</v>
      </c>
      <c r="J44" s="59"/>
      <c r="K44" s="45"/>
      <c r="L44" s="45"/>
      <c r="AK44" s="44">
        <f t="shared" si="1"/>
        <v>0.376</v>
      </c>
    </row>
    <row r="45" spans="2:88">
      <c r="B45" s="107">
        <f t="shared" si="2"/>
        <v>37</v>
      </c>
      <c r="C45" s="38" t="s">
        <v>147</v>
      </c>
      <c r="D45" s="81"/>
      <c r="E45" s="81"/>
      <c r="F45" s="67"/>
      <c r="G45" s="122"/>
      <c r="H45" s="84"/>
      <c r="I45" s="84">
        <f t="shared" si="0"/>
        <v>0</v>
      </c>
      <c r="J45" s="59"/>
      <c r="K45" s="45"/>
      <c r="L45" s="45"/>
      <c r="AK45" s="44">
        <f t="shared" si="1"/>
        <v>0</v>
      </c>
    </row>
    <row r="46" spans="2:88">
      <c r="B46" s="107">
        <f t="shared" si="2"/>
        <v>38</v>
      </c>
      <c r="C46" s="41" t="s">
        <v>141</v>
      </c>
      <c r="D46" s="81"/>
      <c r="E46" s="81">
        <v>6</v>
      </c>
      <c r="F46" s="67">
        <v>10</v>
      </c>
      <c r="G46" s="122" t="s">
        <v>65</v>
      </c>
      <c r="H46" s="84">
        <f>168.75-155.7-0.16-0.16+2</f>
        <v>14.730000000000011</v>
      </c>
      <c r="I46" s="84">
        <f t="shared" si="0"/>
        <v>380.29914000000031</v>
      </c>
      <c r="J46" s="59"/>
      <c r="K46" s="45"/>
      <c r="L46" s="45"/>
      <c r="AK46" s="44">
        <f t="shared" si="1"/>
        <v>4.3029999999999999</v>
      </c>
    </row>
    <row r="47" spans="2:88">
      <c r="B47" s="107">
        <f t="shared" si="2"/>
        <v>39</v>
      </c>
      <c r="C47" s="41" t="s">
        <v>137</v>
      </c>
      <c r="D47" s="81"/>
      <c r="E47" s="81">
        <f>TRUNC(9.98/0.33+1.9)</f>
        <v>32</v>
      </c>
      <c r="F47" s="67">
        <v>3</v>
      </c>
      <c r="G47" s="122" t="s">
        <v>65</v>
      </c>
      <c r="H47" s="84">
        <v>5.66</v>
      </c>
      <c r="I47" s="84">
        <f t="shared" si="0"/>
        <v>68.101120000000009</v>
      </c>
      <c r="J47" s="59"/>
      <c r="AK47" s="44">
        <f t="shared" si="1"/>
        <v>0.376</v>
      </c>
    </row>
    <row r="48" spans="2:88">
      <c r="B48" s="107">
        <f t="shared" si="2"/>
        <v>40</v>
      </c>
      <c r="C48" s="41" t="s">
        <v>138</v>
      </c>
      <c r="D48" s="81"/>
      <c r="E48" s="81">
        <f>TRUNC(9.98/0.33+1.9)</f>
        <v>32</v>
      </c>
      <c r="F48" s="67">
        <v>3</v>
      </c>
      <c r="G48" s="122" t="s">
        <v>65</v>
      </c>
      <c r="H48" s="84">
        <v>1.42</v>
      </c>
      <c r="I48" s="84">
        <f t="shared" si="0"/>
        <v>17.085439999999998</v>
      </c>
      <c r="J48" s="59"/>
      <c r="AK48" s="44">
        <f t="shared" si="1"/>
        <v>0.376</v>
      </c>
    </row>
    <row r="49" spans="2:37">
      <c r="B49" s="107">
        <f t="shared" si="2"/>
        <v>41</v>
      </c>
      <c r="C49" s="38" t="s">
        <v>134</v>
      </c>
      <c r="D49" s="81"/>
      <c r="E49" s="81"/>
      <c r="F49" s="67"/>
      <c r="G49" s="122"/>
      <c r="H49" s="84"/>
      <c r="I49" s="84">
        <f t="shared" si="0"/>
        <v>0</v>
      </c>
      <c r="J49" s="59"/>
      <c r="AK49" s="44">
        <f t="shared" si="1"/>
        <v>0</v>
      </c>
    </row>
    <row r="50" spans="2:37">
      <c r="B50" s="107">
        <f t="shared" si="2"/>
        <v>42</v>
      </c>
      <c r="C50" s="38" t="s">
        <v>135</v>
      </c>
      <c r="D50" s="81"/>
      <c r="E50" s="81"/>
      <c r="F50" s="67"/>
      <c r="G50" s="122"/>
      <c r="H50" s="84"/>
      <c r="I50" s="84">
        <f t="shared" si="0"/>
        <v>0</v>
      </c>
      <c r="J50" s="59"/>
      <c r="AK50" s="44">
        <f t="shared" si="1"/>
        <v>0</v>
      </c>
    </row>
    <row r="51" spans="2:37">
      <c r="B51" s="107">
        <f t="shared" si="2"/>
        <v>43</v>
      </c>
      <c r="C51" s="41" t="s">
        <v>136</v>
      </c>
      <c r="D51" s="81"/>
      <c r="E51" s="81">
        <v>6</v>
      </c>
      <c r="F51" s="67">
        <v>10</v>
      </c>
      <c r="G51" s="122" t="s">
        <v>57</v>
      </c>
      <c r="H51" s="84">
        <f>144.4-134.5+4.5-0.25-0.16+1</f>
        <v>14.990000000000006</v>
      </c>
      <c r="I51" s="84">
        <f t="shared" si="0"/>
        <v>387.01182000000017</v>
      </c>
      <c r="J51" s="59"/>
      <c r="AK51" s="44">
        <f t="shared" si="1"/>
        <v>4.3029999999999999</v>
      </c>
    </row>
    <row r="52" spans="2:37">
      <c r="B52" s="107">
        <f t="shared" si="2"/>
        <v>44</v>
      </c>
      <c r="C52" s="41" t="s">
        <v>137</v>
      </c>
      <c r="D52" s="81"/>
      <c r="E52" s="81">
        <f>TRUNC(8.74/0.33+1.9)</f>
        <v>28</v>
      </c>
      <c r="F52" s="67">
        <v>3</v>
      </c>
      <c r="G52" s="122" t="s">
        <v>65</v>
      </c>
      <c r="H52" s="84">
        <v>5.66</v>
      </c>
      <c r="I52" s="84">
        <f t="shared" si="0"/>
        <v>59.588480000000004</v>
      </c>
      <c r="J52" s="59"/>
      <c r="AK52" s="44">
        <f t="shared" si="1"/>
        <v>0.376</v>
      </c>
    </row>
    <row r="53" spans="2:37">
      <c r="B53" s="107">
        <f t="shared" si="2"/>
        <v>45</v>
      </c>
      <c r="C53" s="41" t="s">
        <v>138</v>
      </c>
      <c r="D53" s="81"/>
      <c r="E53" s="81">
        <f>TRUNC(8.74/0.33+1.9)</f>
        <v>28</v>
      </c>
      <c r="F53" s="67">
        <v>3</v>
      </c>
      <c r="G53" s="122" t="s">
        <v>65</v>
      </c>
      <c r="H53" s="84">
        <v>1.42</v>
      </c>
      <c r="I53" s="84">
        <f t="shared" si="0"/>
        <v>14.949759999999998</v>
      </c>
      <c r="J53" s="59"/>
      <c r="AK53" s="44">
        <f t="shared" si="1"/>
        <v>0.376</v>
      </c>
    </row>
    <row r="54" spans="2:37">
      <c r="B54" s="107">
        <f t="shared" si="2"/>
        <v>46</v>
      </c>
      <c r="C54" s="38" t="s">
        <v>139</v>
      </c>
      <c r="D54" s="81"/>
      <c r="E54" s="81"/>
      <c r="F54" s="67"/>
      <c r="G54" s="122"/>
      <c r="H54" s="84"/>
      <c r="I54" s="84">
        <f t="shared" si="0"/>
        <v>0</v>
      </c>
      <c r="J54" s="59"/>
      <c r="AK54" s="44">
        <f t="shared" si="1"/>
        <v>0</v>
      </c>
    </row>
    <row r="55" spans="2:37">
      <c r="B55" s="107">
        <f t="shared" si="2"/>
        <v>47</v>
      </c>
      <c r="C55" s="41" t="s">
        <v>136</v>
      </c>
      <c r="D55" s="81"/>
      <c r="E55" s="81">
        <v>6</v>
      </c>
      <c r="F55" s="67">
        <v>10</v>
      </c>
      <c r="G55" s="122" t="s">
        <v>57</v>
      </c>
      <c r="H55" s="84">
        <f>155.7-144.4+4.5-0.16*2</f>
        <v>15.479999999999983</v>
      </c>
      <c r="I55" s="84">
        <f t="shared" si="0"/>
        <v>399.66263999999956</v>
      </c>
      <c r="J55" s="59"/>
      <c r="AK55" s="44">
        <f t="shared" si="1"/>
        <v>4.3029999999999999</v>
      </c>
    </row>
    <row r="56" spans="2:37">
      <c r="B56" s="107">
        <f t="shared" si="2"/>
        <v>48</v>
      </c>
      <c r="C56" s="41" t="s">
        <v>137</v>
      </c>
      <c r="D56" s="81"/>
      <c r="E56" s="81">
        <f>TRUNC(9.04/0.33+1.9)</f>
        <v>29</v>
      </c>
      <c r="F56" s="67">
        <v>3</v>
      </c>
      <c r="G56" s="122" t="s">
        <v>65</v>
      </c>
      <c r="H56" s="84">
        <v>5.66</v>
      </c>
      <c r="I56" s="84">
        <f t="shared" si="0"/>
        <v>61.716640000000005</v>
      </c>
      <c r="J56" s="59"/>
      <c r="AK56" s="44">
        <f t="shared" si="1"/>
        <v>0.376</v>
      </c>
    </row>
    <row r="57" spans="2:37">
      <c r="B57" s="107">
        <f t="shared" si="2"/>
        <v>49</v>
      </c>
      <c r="C57" s="41" t="s">
        <v>138</v>
      </c>
      <c r="D57" s="81"/>
      <c r="E57" s="81">
        <f>TRUNC(9.04/0.33+1.9)</f>
        <v>29</v>
      </c>
      <c r="F57" s="67">
        <v>3</v>
      </c>
      <c r="G57" s="122" t="s">
        <v>65</v>
      </c>
      <c r="H57" s="84">
        <v>1.42</v>
      </c>
      <c r="I57" s="84">
        <f t="shared" si="0"/>
        <v>15.483679999999998</v>
      </c>
      <c r="J57" s="59"/>
      <c r="AK57" s="44">
        <f t="shared" si="1"/>
        <v>0.376</v>
      </c>
    </row>
    <row r="58" spans="2:37">
      <c r="B58" s="107">
        <f t="shared" si="2"/>
        <v>50</v>
      </c>
      <c r="C58" s="38"/>
      <c r="D58" s="81"/>
      <c r="E58" s="81"/>
      <c r="F58" s="67"/>
      <c r="G58" s="122"/>
      <c r="H58" s="84"/>
      <c r="I58" s="84">
        <f t="shared" si="0"/>
        <v>0</v>
      </c>
      <c r="J58" s="59"/>
      <c r="AK58" s="44">
        <f t="shared" si="1"/>
        <v>0</v>
      </c>
    </row>
    <row r="59" spans="2:37">
      <c r="B59" s="107">
        <f t="shared" si="2"/>
        <v>51</v>
      </c>
      <c r="C59" s="38" t="s">
        <v>148</v>
      </c>
      <c r="D59" s="81"/>
      <c r="E59" s="81"/>
      <c r="F59" s="67"/>
      <c r="G59" s="122"/>
      <c r="H59" s="84"/>
      <c r="I59" s="84">
        <f t="shared" si="0"/>
        <v>0</v>
      </c>
      <c r="J59" s="59"/>
      <c r="AK59" s="44">
        <f t="shared" si="1"/>
        <v>0</v>
      </c>
    </row>
    <row r="60" spans="2:37">
      <c r="B60" s="107">
        <f t="shared" si="2"/>
        <v>52</v>
      </c>
      <c r="C60" s="41" t="s">
        <v>141</v>
      </c>
      <c r="D60" s="81"/>
      <c r="E60" s="81">
        <v>6</v>
      </c>
      <c r="F60" s="67">
        <v>10</v>
      </c>
      <c r="G60" s="122" t="s">
        <v>65</v>
      </c>
      <c r="H60" s="84">
        <f>168.75-155.7-0.16-0.16</f>
        <v>12.730000000000011</v>
      </c>
      <c r="I60" s="84">
        <f t="shared" si="0"/>
        <v>328.66314000000028</v>
      </c>
      <c r="J60" s="59"/>
      <c r="AK60" s="44">
        <f t="shared" si="1"/>
        <v>4.3029999999999999</v>
      </c>
    </row>
    <row r="61" spans="2:37">
      <c r="B61" s="107">
        <f t="shared" si="2"/>
        <v>53</v>
      </c>
      <c r="C61" s="41" t="s">
        <v>137</v>
      </c>
      <c r="D61" s="81"/>
      <c r="E61" s="81">
        <f>TRUNC(10.63/0.33+1.9)</f>
        <v>34</v>
      </c>
      <c r="F61" s="67">
        <v>3</v>
      </c>
      <c r="G61" s="122" t="s">
        <v>65</v>
      </c>
      <c r="H61" s="84">
        <v>5.66</v>
      </c>
      <c r="I61" s="84">
        <f t="shared" si="0"/>
        <v>72.357440000000011</v>
      </c>
      <c r="J61" s="59"/>
      <c r="AK61" s="44">
        <f t="shared" si="1"/>
        <v>0.376</v>
      </c>
    </row>
    <row r="62" spans="2:37">
      <c r="B62" s="107">
        <f t="shared" si="2"/>
        <v>54</v>
      </c>
      <c r="C62" s="41" t="s">
        <v>138</v>
      </c>
      <c r="D62" s="81"/>
      <c r="E62" s="81">
        <f>TRUNC(10.63/0.33+1.9)</f>
        <v>34</v>
      </c>
      <c r="F62" s="67">
        <v>3</v>
      </c>
      <c r="G62" s="122" t="s">
        <v>65</v>
      </c>
      <c r="H62" s="84">
        <v>1.42</v>
      </c>
      <c r="I62" s="84">
        <f t="shared" si="0"/>
        <v>18.153279999999999</v>
      </c>
      <c r="J62" s="59"/>
      <c r="AK62" s="44">
        <f t="shared" si="1"/>
        <v>0.376</v>
      </c>
    </row>
    <row r="63" spans="2:37">
      <c r="B63" s="107">
        <f t="shared" si="2"/>
        <v>55</v>
      </c>
      <c r="C63" s="38" t="s">
        <v>134</v>
      </c>
      <c r="D63" s="81"/>
      <c r="E63" s="81"/>
      <c r="F63" s="67"/>
      <c r="G63" s="122"/>
      <c r="H63" s="84"/>
      <c r="I63" s="84">
        <f t="shared" si="0"/>
        <v>0</v>
      </c>
      <c r="J63" s="59"/>
      <c r="AK63" s="44">
        <f t="shared" si="1"/>
        <v>0</v>
      </c>
    </row>
    <row r="64" spans="2:37">
      <c r="B64" s="107">
        <f t="shared" si="2"/>
        <v>56</v>
      </c>
      <c r="C64" s="38" t="s">
        <v>149</v>
      </c>
      <c r="D64" s="81"/>
      <c r="E64" s="81"/>
      <c r="F64" s="67"/>
      <c r="G64" s="122"/>
      <c r="H64" s="84"/>
      <c r="I64" s="84">
        <f t="shared" si="0"/>
        <v>0</v>
      </c>
      <c r="J64" s="59"/>
      <c r="AK64" s="44">
        <f t="shared" si="1"/>
        <v>0</v>
      </c>
    </row>
    <row r="65" spans="2:37">
      <c r="B65" s="107">
        <f t="shared" si="2"/>
        <v>57</v>
      </c>
      <c r="C65" s="41" t="s">
        <v>136</v>
      </c>
      <c r="D65" s="81"/>
      <c r="E65" s="81">
        <v>6</v>
      </c>
      <c r="F65" s="67">
        <v>10</v>
      </c>
      <c r="G65" s="122" t="s">
        <v>57</v>
      </c>
      <c r="H65" s="84">
        <f>145.8-135.9+4.5-0.25-0.16+1</f>
        <v>14.990000000000006</v>
      </c>
      <c r="I65" s="84">
        <f t="shared" si="0"/>
        <v>387.01182000000017</v>
      </c>
      <c r="J65" s="59"/>
      <c r="AK65" s="44">
        <f t="shared" si="1"/>
        <v>4.3029999999999999</v>
      </c>
    </row>
    <row r="66" spans="2:37">
      <c r="B66" s="107">
        <f t="shared" si="2"/>
        <v>58</v>
      </c>
      <c r="C66" s="41" t="s">
        <v>137</v>
      </c>
      <c r="D66" s="81"/>
      <c r="E66" s="81">
        <f>TRUNC(8.74/0.33+1.9)</f>
        <v>28</v>
      </c>
      <c r="F66" s="67">
        <v>3</v>
      </c>
      <c r="G66" s="122" t="s">
        <v>65</v>
      </c>
      <c r="H66" s="84">
        <v>5.66</v>
      </c>
      <c r="I66" s="84">
        <f t="shared" si="0"/>
        <v>59.588480000000004</v>
      </c>
      <c r="J66" s="59"/>
      <c r="AK66" s="44">
        <f t="shared" si="1"/>
        <v>0.376</v>
      </c>
    </row>
    <row r="67" spans="2:37">
      <c r="B67" s="107">
        <f t="shared" si="2"/>
        <v>59</v>
      </c>
      <c r="C67" s="41" t="s">
        <v>138</v>
      </c>
      <c r="D67" s="81"/>
      <c r="E67" s="81">
        <f>TRUNC(8.74/0.33+1.9)</f>
        <v>28</v>
      </c>
      <c r="F67" s="67">
        <v>3</v>
      </c>
      <c r="G67" s="122" t="s">
        <v>65</v>
      </c>
      <c r="H67" s="84">
        <v>1.42</v>
      </c>
      <c r="I67" s="84">
        <f t="shared" si="0"/>
        <v>14.949759999999998</v>
      </c>
      <c r="J67" s="59"/>
      <c r="AK67" s="44">
        <f t="shared" si="1"/>
        <v>0.376</v>
      </c>
    </row>
    <row r="68" spans="2:37">
      <c r="B68" s="107">
        <f t="shared" si="2"/>
        <v>60</v>
      </c>
      <c r="C68" s="38" t="s">
        <v>150</v>
      </c>
      <c r="D68" s="81"/>
      <c r="E68" s="81"/>
      <c r="F68" s="67"/>
      <c r="G68" s="122"/>
      <c r="H68" s="84"/>
      <c r="I68" s="84">
        <f t="shared" si="0"/>
        <v>0</v>
      </c>
      <c r="J68" s="59"/>
      <c r="AK68" s="44">
        <f t="shared" si="1"/>
        <v>0</v>
      </c>
    </row>
    <row r="69" spans="2:37">
      <c r="B69" s="107">
        <f t="shared" si="2"/>
        <v>61</v>
      </c>
      <c r="C69" s="41" t="s">
        <v>151</v>
      </c>
      <c r="D69" s="81"/>
      <c r="E69" s="81">
        <v>6</v>
      </c>
      <c r="F69" s="67">
        <v>10</v>
      </c>
      <c r="G69" s="122" t="s">
        <v>57</v>
      </c>
      <c r="H69" s="84">
        <f>156.9-145.8+4.5-0.16*2</f>
        <v>15.279999999999994</v>
      </c>
      <c r="I69" s="84">
        <f t="shared" si="0"/>
        <v>394.49903999999987</v>
      </c>
      <c r="J69" s="59"/>
      <c r="AK69" s="44">
        <f t="shared" si="1"/>
        <v>4.3029999999999999</v>
      </c>
    </row>
    <row r="70" spans="2:37">
      <c r="B70" s="107">
        <f t="shared" si="2"/>
        <v>62</v>
      </c>
      <c r="C70" s="41" t="s">
        <v>137</v>
      </c>
      <c r="D70" s="81"/>
      <c r="E70" s="81">
        <f>TRUNC(8.84/0.33+1.9)</f>
        <v>28</v>
      </c>
      <c r="F70" s="67">
        <v>3</v>
      </c>
      <c r="G70" s="122" t="s">
        <v>65</v>
      </c>
      <c r="H70" s="84">
        <v>5.66</v>
      </c>
      <c r="I70" s="84">
        <f t="shared" si="0"/>
        <v>59.588480000000004</v>
      </c>
      <c r="J70" s="59"/>
      <c r="AK70" s="44">
        <f t="shared" si="1"/>
        <v>0.376</v>
      </c>
    </row>
    <row r="71" spans="2:37">
      <c r="B71" s="107">
        <f t="shared" si="2"/>
        <v>63</v>
      </c>
      <c r="C71" s="41" t="s">
        <v>138</v>
      </c>
      <c r="D71" s="81"/>
      <c r="E71" s="81">
        <f>TRUNC(8.84/0.33+1.9)</f>
        <v>28</v>
      </c>
      <c r="F71" s="67">
        <v>3</v>
      </c>
      <c r="G71" s="122" t="s">
        <v>65</v>
      </c>
      <c r="H71" s="84">
        <v>1.42</v>
      </c>
      <c r="I71" s="84">
        <f t="shared" si="0"/>
        <v>14.949759999999998</v>
      </c>
      <c r="J71" s="59"/>
      <c r="AK71" s="44">
        <f t="shared" si="1"/>
        <v>0.376</v>
      </c>
    </row>
    <row r="72" spans="2:37">
      <c r="B72" s="107">
        <f t="shared" si="2"/>
        <v>64</v>
      </c>
      <c r="C72" s="38" t="s">
        <v>152</v>
      </c>
      <c r="D72" s="81"/>
      <c r="E72" s="81"/>
      <c r="F72" s="67"/>
      <c r="G72" s="122"/>
      <c r="H72" s="84"/>
      <c r="I72" s="84">
        <f t="shared" si="0"/>
        <v>0</v>
      </c>
      <c r="J72" s="59"/>
      <c r="AK72" s="44">
        <f t="shared" si="1"/>
        <v>0</v>
      </c>
    </row>
    <row r="73" spans="2:37">
      <c r="B73" s="107">
        <f t="shared" si="2"/>
        <v>65</v>
      </c>
      <c r="C73" s="41" t="s">
        <v>141</v>
      </c>
      <c r="D73" s="81"/>
      <c r="E73" s="81">
        <v>6</v>
      </c>
      <c r="F73" s="67">
        <v>10</v>
      </c>
      <c r="G73" s="122" t="s">
        <v>65</v>
      </c>
      <c r="H73" s="84">
        <f>168.75-156.9-0.16-0.16+2</f>
        <v>13.529999999999994</v>
      </c>
      <c r="I73" s="84">
        <f t="shared" ref="I73:I136" si="3">IF(D73="",AK73*H73*E73,AK73*H73*E73*D73)</f>
        <v>349.31753999999984</v>
      </c>
      <c r="J73" s="59"/>
      <c r="AK73" s="44">
        <f t="shared" ref="AK73:AK136" si="4">IF(F73="",0,VLOOKUP(F73,$CI$16:$CJ$38,2,FALSE))</f>
        <v>4.3029999999999999</v>
      </c>
    </row>
    <row r="74" spans="2:37">
      <c r="B74" s="107">
        <f t="shared" ref="B74:B137" si="5">IF(B73="SL.NO",1,B73+1)</f>
        <v>66</v>
      </c>
      <c r="C74" s="41" t="s">
        <v>137</v>
      </c>
      <c r="D74" s="81"/>
      <c r="E74" s="81">
        <f>TRUNC(9.43/0.33+1.9)</f>
        <v>30</v>
      </c>
      <c r="F74" s="67">
        <v>3</v>
      </c>
      <c r="G74" s="122" t="s">
        <v>65</v>
      </c>
      <c r="H74" s="84">
        <v>5.66</v>
      </c>
      <c r="I74" s="84">
        <f t="shared" si="3"/>
        <v>63.844800000000006</v>
      </c>
      <c r="J74" s="59"/>
      <c r="AK74" s="44">
        <f t="shared" si="4"/>
        <v>0.376</v>
      </c>
    </row>
    <row r="75" spans="2:37">
      <c r="B75" s="107">
        <f t="shared" si="5"/>
        <v>67</v>
      </c>
      <c r="C75" s="41" t="s">
        <v>138</v>
      </c>
      <c r="D75" s="81"/>
      <c r="E75" s="81">
        <f>TRUNC(9.43/0.33+1.9)</f>
        <v>30</v>
      </c>
      <c r="F75" s="67">
        <v>3</v>
      </c>
      <c r="G75" s="122" t="s">
        <v>65</v>
      </c>
      <c r="H75" s="84">
        <v>1.42</v>
      </c>
      <c r="I75" s="84">
        <f t="shared" si="3"/>
        <v>16.017599999999998</v>
      </c>
      <c r="J75" s="59"/>
      <c r="AK75" s="44">
        <f t="shared" si="4"/>
        <v>0.376</v>
      </c>
    </row>
    <row r="76" spans="2:37">
      <c r="B76" s="107">
        <f t="shared" si="5"/>
        <v>68</v>
      </c>
      <c r="C76" s="38" t="s">
        <v>134</v>
      </c>
      <c r="D76" s="81"/>
      <c r="E76" s="81"/>
      <c r="F76" s="67"/>
      <c r="G76" s="122"/>
      <c r="H76" s="84"/>
      <c r="I76" s="84">
        <f t="shared" si="3"/>
        <v>0</v>
      </c>
      <c r="J76" s="59"/>
      <c r="AK76" s="44">
        <f t="shared" si="4"/>
        <v>0</v>
      </c>
    </row>
    <row r="77" spans="2:37">
      <c r="B77" s="107">
        <f t="shared" si="5"/>
        <v>69</v>
      </c>
      <c r="C77" s="38" t="s">
        <v>149</v>
      </c>
      <c r="D77" s="81"/>
      <c r="E77" s="81"/>
      <c r="F77" s="67"/>
      <c r="G77" s="122"/>
      <c r="H77" s="84"/>
      <c r="I77" s="84">
        <f t="shared" si="3"/>
        <v>0</v>
      </c>
      <c r="J77" s="59"/>
      <c r="AK77" s="44">
        <f t="shared" si="4"/>
        <v>0</v>
      </c>
    </row>
    <row r="78" spans="2:37">
      <c r="B78" s="107">
        <f t="shared" si="5"/>
        <v>70</v>
      </c>
      <c r="C78" s="41" t="s">
        <v>136</v>
      </c>
      <c r="D78" s="81"/>
      <c r="E78" s="81">
        <v>6</v>
      </c>
      <c r="F78" s="67">
        <v>10</v>
      </c>
      <c r="G78" s="122" t="s">
        <v>57</v>
      </c>
      <c r="H78" s="84">
        <f>145.8-135.9+4.5-0.25-0.16+1</f>
        <v>14.990000000000006</v>
      </c>
      <c r="I78" s="84">
        <f t="shared" si="3"/>
        <v>387.01182000000017</v>
      </c>
      <c r="J78" s="59"/>
      <c r="AK78" s="44">
        <f t="shared" si="4"/>
        <v>4.3029999999999999</v>
      </c>
    </row>
    <row r="79" spans="2:37">
      <c r="B79" s="107">
        <f t="shared" si="5"/>
        <v>71</v>
      </c>
      <c r="C79" s="41" t="s">
        <v>137</v>
      </c>
      <c r="D79" s="81"/>
      <c r="E79" s="81">
        <f>TRUNC(8.74/0.33+1.9)</f>
        <v>28</v>
      </c>
      <c r="F79" s="67">
        <v>3</v>
      </c>
      <c r="G79" s="122" t="s">
        <v>65</v>
      </c>
      <c r="H79" s="84">
        <v>5.66</v>
      </c>
      <c r="I79" s="84">
        <f t="shared" si="3"/>
        <v>59.588480000000004</v>
      </c>
      <c r="J79" s="59"/>
      <c r="AK79" s="44">
        <f t="shared" si="4"/>
        <v>0.376</v>
      </c>
    </row>
    <row r="80" spans="2:37">
      <c r="B80" s="107">
        <f t="shared" si="5"/>
        <v>72</v>
      </c>
      <c r="C80" s="41" t="s">
        <v>138</v>
      </c>
      <c r="D80" s="81"/>
      <c r="E80" s="81">
        <f>TRUNC(8.74/0.33+1.9)</f>
        <v>28</v>
      </c>
      <c r="F80" s="67">
        <v>3</v>
      </c>
      <c r="G80" s="122" t="s">
        <v>65</v>
      </c>
      <c r="H80" s="84">
        <v>1.42</v>
      </c>
      <c r="I80" s="84">
        <f t="shared" si="3"/>
        <v>14.949759999999998</v>
      </c>
      <c r="J80" s="59"/>
      <c r="AK80" s="44">
        <f t="shared" si="4"/>
        <v>0.376</v>
      </c>
    </row>
    <row r="81" spans="2:37">
      <c r="B81" s="107">
        <f t="shared" si="5"/>
        <v>73</v>
      </c>
      <c r="C81" s="38" t="s">
        <v>150</v>
      </c>
      <c r="D81" s="81"/>
      <c r="E81" s="81"/>
      <c r="F81" s="67"/>
      <c r="G81" s="122"/>
      <c r="H81" s="84"/>
      <c r="I81" s="84">
        <f t="shared" si="3"/>
        <v>0</v>
      </c>
      <c r="J81" s="59"/>
      <c r="AK81" s="44">
        <f t="shared" si="4"/>
        <v>0</v>
      </c>
    </row>
    <row r="82" spans="2:37">
      <c r="B82" s="107">
        <f t="shared" si="5"/>
        <v>74</v>
      </c>
      <c r="C82" s="41" t="s">
        <v>136</v>
      </c>
      <c r="D82" s="81"/>
      <c r="E82" s="81">
        <v>6</v>
      </c>
      <c r="F82" s="67">
        <v>10</v>
      </c>
      <c r="G82" s="122" t="s">
        <v>57</v>
      </c>
      <c r="H82" s="84">
        <f>156.9-145.8+4.5-0.16*2</f>
        <v>15.279999999999994</v>
      </c>
      <c r="I82" s="84">
        <f t="shared" si="3"/>
        <v>394.49903999999987</v>
      </c>
      <c r="J82" s="59"/>
      <c r="AK82" s="44">
        <f t="shared" si="4"/>
        <v>4.3029999999999999</v>
      </c>
    </row>
    <row r="83" spans="2:37">
      <c r="B83" s="107">
        <f t="shared" si="5"/>
        <v>75</v>
      </c>
      <c r="C83" s="41" t="s">
        <v>137</v>
      </c>
      <c r="D83" s="81"/>
      <c r="E83" s="81">
        <f>TRUNC(7.84/0.33+1.9)</f>
        <v>25</v>
      </c>
      <c r="F83" s="67">
        <v>3</v>
      </c>
      <c r="G83" s="122" t="s">
        <v>65</v>
      </c>
      <c r="H83" s="84">
        <v>5.66</v>
      </c>
      <c r="I83" s="84">
        <f t="shared" si="3"/>
        <v>53.204000000000008</v>
      </c>
      <c r="J83" s="59"/>
      <c r="AK83" s="44">
        <f t="shared" si="4"/>
        <v>0.376</v>
      </c>
    </row>
    <row r="84" spans="2:37">
      <c r="B84" s="107">
        <f t="shared" si="5"/>
        <v>76</v>
      </c>
      <c r="C84" s="41" t="s">
        <v>138</v>
      </c>
      <c r="D84" s="81"/>
      <c r="E84" s="81">
        <f>TRUNC(7.84/0.33+1.9)</f>
        <v>25</v>
      </c>
      <c r="F84" s="67">
        <v>3</v>
      </c>
      <c r="G84" s="122" t="s">
        <v>65</v>
      </c>
      <c r="H84" s="84">
        <v>1.42</v>
      </c>
      <c r="I84" s="84">
        <f t="shared" si="3"/>
        <v>13.347999999999999</v>
      </c>
      <c r="J84" s="59"/>
      <c r="AK84" s="44">
        <f t="shared" si="4"/>
        <v>0.376</v>
      </c>
    </row>
    <row r="85" spans="2:37">
      <c r="B85" s="107">
        <f t="shared" si="5"/>
        <v>77</v>
      </c>
      <c r="C85" s="38" t="s">
        <v>152</v>
      </c>
      <c r="D85" s="81"/>
      <c r="E85" s="81"/>
      <c r="F85" s="67"/>
      <c r="G85" s="122"/>
      <c r="H85" s="84"/>
      <c r="I85" s="84">
        <f t="shared" si="3"/>
        <v>0</v>
      </c>
      <c r="J85" s="59"/>
      <c r="AK85" s="44">
        <f t="shared" si="4"/>
        <v>0</v>
      </c>
    </row>
    <row r="86" spans="2:37">
      <c r="B86" s="107">
        <f t="shared" si="5"/>
        <v>78</v>
      </c>
      <c r="C86" s="41" t="s">
        <v>141</v>
      </c>
      <c r="D86" s="81"/>
      <c r="E86" s="81">
        <v>6</v>
      </c>
      <c r="F86" s="67">
        <v>10</v>
      </c>
      <c r="G86" s="122" t="s">
        <v>65</v>
      </c>
      <c r="H86" s="84">
        <f>168.75-156.9-0.16-0.16+2</f>
        <v>13.529999999999994</v>
      </c>
      <c r="I86" s="84">
        <f t="shared" si="3"/>
        <v>349.31753999999984</v>
      </c>
      <c r="J86" s="59"/>
      <c r="AK86" s="44">
        <f t="shared" si="4"/>
        <v>4.3029999999999999</v>
      </c>
    </row>
    <row r="87" spans="2:37">
      <c r="B87" s="107">
        <f t="shared" si="5"/>
        <v>79</v>
      </c>
      <c r="C87" s="41" t="s">
        <v>137</v>
      </c>
      <c r="D87" s="81"/>
      <c r="E87" s="81">
        <f>TRUNC(9.43/0.33+1.9)</f>
        <v>30</v>
      </c>
      <c r="F87" s="67">
        <v>3</v>
      </c>
      <c r="G87" s="122" t="s">
        <v>65</v>
      </c>
      <c r="H87" s="84">
        <v>5.66</v>
      </c>
      <c r="I87" s="84">
        <f t="shared" si="3"/>
        <v>63.844800000000006</v>
      </c>
      <c r="J87" s="59"/>
      <c r="AK87" s="44">
        <f t="shared" si="4"/>
        <v>0.376</v>
      </c>
    </row>
    <row r="88" spans="2:37">
      <c r="B88" s="107">
        <f t="shared" si="5"/>
        <v>80</v>
      </c>
      <c r="C88" s="41" t="s">
        <v>138</v>
      </c>
      <c r="D88" s="81"/>
      <c r="E88" s="81">
        <f>TRUNC(9.43/0.33+1.9)</f>
        <v>30</v>
      </c>
      <c r="F88" s="67">
        <v>3</v>
      </c>
      <c r="G88" s="122" t="s">
        <v>65</v>
      </c>
      <c r="H88" s="84">
        <v>1.42</v>
      </c>
      <c r="I88" s="84">
        <f t="shared" si="3"/>
        <v>16.017599999999998</v>
      </c>
      <c r="J88" s="59"/>
      <c r="AK88" s="44">
        <f t="shared" si="4"/>
        <v>0.376</v>
      </c>
    </row>
    <row r="89" spans="2:37">
      <c r="B89" s="107">
        <f t="shared" si="5"/>
        <v>81</v>
      </c>
      <c r="C89" s="38" t="s">
        <v>153</v>
      </c>
      <c r="D89" s="81"/>
      <c r="E89" s="81"/>
      <c r="F89" s="67"/>
      <c r="G89" s="122"/>
      <c r="H89" s="84"/>
      <c r="I89" s="84">
        <f t="shared" si="3"/>
        <v>0</v>
      </c>
      <c r="J89" s="59"/>
      <c r="AK89" s="44">
        <f t="shared" si="4"/>
        <v>0</v>
      </c>
    </row>
    <row r="90" spans="2:37">
      <c r="B90" s="107">
        <f t="shared" si="5"/>
        <v>82</v>
      </c>
      <c r="C90" s="38" t="s">
        <v>135</v>
      </c>
      <c r="D90" s="81"/>
      <c r="E90" s="81"/>
      <c r="F90" s="67"/>
      <c r="G90" s="122"/>
      <c r="H90" s="84"/>
      <c r="I90" s="84">
        <f t="shared" si="3"/>
        <v>0</v>
      </c>
      <c r="J90" s="59"/>
      <c r="AK90" s="44">
        <f t="shared" si="4"/>
        <v>0</v>
      </c>
    </row>
    <row r="91" spans="2:37">
      <c r="B91" s="107">
        <f t="shared" si="5"/>
        <v>83</v>
      </c>
      <c r="C91" s="41" t="s">
        <v>154</v>
      </c>
      <c r="D91" s="81"/>
      <c r="E91" s="81">
        <v>6</v>
      </c>
      <c r="F91" s="67">
        <v>9</v>
      </c>
      <c r="G91" s="122" t="s">
        <v>57</v>
      </c>
      <c r="H91" s="84">
        <f>144.4-134.5+4.5-0.25-0.16+1</f>
        <v>14.990000000000006</v>
      </c>
      <c r="I91" s="84">
        <f t="shared" si="3"/>
        <v>305.79600000000011</v>
      </c>
      <c r="J91" s="59"/>
      <c r="AK91" s="44">
        <f t="shared" si="4"/>
        <v>3.4</v>
      </c>
    </row>
    <row r="92" spans="2:37">
      <c r="B92" s="107">
        <f t="shared" si="5"/>
        <v>84</v>
      </c>
      <c r="C92" s="41" t="s">
        <v>137</v>
      </c>
      <c r="D92" s="81"/>
      <c r="E92" s="81">
        <f>TRUNC(8.74/0.33+1.9)</f>
        <v>28</v>
      </c>
      <c r="F92" s="67">
        <v>3</v>
      </c>
      <c r="G92" s="122" t="s">
        <v>65</v>
      </c>
      <c r="H92" s="84">
        <v>5.66</v>
      </c>
      <c r="I92" s="84">
        <f t="shared" si="3"/>
        <v>59.588480000000004</v>
      </c>
      <c r="J92" s="109"/>
      <c r="AK92" s="44">
        <f t="shared" si="4"/>
        <v>0.376</v>
      </c>
    </row>
    <row r="93" spans="2:37">
      <c r="B93" s="107">
        <f t="shared" si="5"/>
        <v>85</v>
      </c>
      <c r="C93" s="41" t="s">
        <v>138</v>
      </c>
      <c r="D93" s="81"/>
      <c r="E93" s="81">
        <f>TRUNC(8.74/0.33+1.9)</f>
        <v>28</v>
      </c>
      <c r="F93" s="67">
        <v>3</v>
      </c>
      <c r="G93" s="122" t="s">
        <v>65</v>
      </c>
      <c r="H93" s="84">
        <v>1.42</v>
      </c>
      <c r="I93" s="84">
        <f t="shared" si="3"/>
        <v>14.949759999999998</v>
      </c>
      <c r="J93" s="109"/>
      <c r="AK93" s="44">
        <f t="shared" si="4"/>
        <v>0.376</v>
      </c>
    </row>
    <row r="94" spans="2:37">
      <c r="B94" s="107">
        <f t="shared" si="5"/>
        <v>86</v>
      </c>
      <c r="C94" s="38" t="s">
        <v>139</v>
      </c>
      <c r="D94" s="81"/>
      <c r="E94" s="81"/>
      <c r="F94" s="67"/>
      <c r="G94" s="122"/>
      <c r="H94" s="84"/>
      <c r="I94" s="84">
        <f t="shared" si="3"/>
        <v>0</v>
      </c>
      <c r="J94" s="59"/>
      <c r="AK94" s="44">
        <f t="shared" si="4"/>
        <v>0</v>
      </c>
    </row>
    <row r="95" spans="2:37">
      <c r="B95" s="107">
        <f t="shared" si="5"/>
        <v>87</v>
      </c>
      <c r="C95" s="41" t="s">
        <v>154</v>
      </c>
      <c r="D95" s="81"/>
      <c r="E95" s="81">
        <v>6</v>
      </c>
      <c r="F95" s="67">
        <v>9</v>
      </c>
      <c r="G95" s="122" t="s">
        <v>57</v>
      </c>
      <c r="H95" s="84">
        <f>155.7-144.4+4.5-0.16*2</f>
        <v>15.479999999999983</v>
      </c>
      <c r="I95" s="84">
        <f t="shared" si="3"/>
        <v>315.79199999999963</v>
      </c>
      <c r="J95" s="59"/>
      <c r="AK95" s="44">
        <f t="shared" si="4"/>
        <v>3.4</v>
      </c>
    </row>
    <row r="96" spans="2:37">
      <c r="B96" s="107">
        <f t="shared" si="5"/>
        <v>88</v>
      </c>
      <c r="C96" s="41" t="s">
        <v>137</v>
      </c>
      <c r="D96" s="81"/>
      <c r="E96" s="81">
        <f>TRUNC(9.04/0.33+1.9)</f>
        <v>29</v>
      </c>
      <c r="F96" s="67">
        <v>3</v>
      </c>
      <c r="G96" s="122" t="s">
        <v>65</v>
      </c>
      <c r="H96" s="84">
        <v>5.66</v>
      </c>
      <c r="I96" s="84">
        <f t="shared" si="3"/>
        <v>61.716640000000005</v>
      </c>
      <c r="J96" s="59"/>
      <c r="AK96" s="44">
        <f t="shared" si="4"/>
        <v>0.376</v>
      </c>
    </row>
    <row r="97" spans="2:37">
      <c r="B97" s="107">
        <f t="shared" si="5"/>
        <v>89</v>
      </c>
      <c r="C97" s="41" t="s">
        <v>138</v>
      </c>
      <c r="D97" s="81"/>
      <c r="E97" s="81">
        <f>TRUNC(9.04/0.33+1.9)</f>
        <v>29</v>
      </c>
      <c r="F97" s="67">
        <v>3</v>
      </c>
      <c r="G97" s="122" t="s">
        <v>65</v>
      </c>
      <c r="H97" s="84">
        <v>1.42</v>
      </c>
      <c r="I97" s="84">
        <f t="shared" si="3"/>
        <v>15.483679999999998</v>
      </c>
      <c r="J97" s="59"/>
      <c r="AK97" s="44">
        <f t="shared" si="4"/>
        <v>0.376</v>
      </c>
    </row>
    <row r="98" spans="2:37">
      <c r="B98" s="107">
        <f t="shared" si="5"/>
        <v>90</v>
      </c>
      <c r="C98" s="38" t="s">
        <v>140</v>
      </c>
      <c r="D98" s="81"/>
      <c r="E98" s="81"/>
      <c r="F98" s="67"/>
      <c r="G98" s="122"/>
      <c r="H98" s="84"/>
      <c r="I98" s="84">
        <f t="shared" si="3"/>
        <v>0</v>
      </c>
      <c r="J98" s="59"/>
      <c r="AK98" s="44">
        <f t="shared" si="4"/>
        <v>0</v>
      </c>
    </row>
    <row r="99" spans="2:37">
      <c r="B99" s="107">
        <f t="shared" si="5"/>
        <v>91</v>
      </c>
      <c r="C99" s="41" t="s">
        <v>155</v>
      </c>
      <c r="D99" s="81"/>
      <c r="E99" s="81">
        <v>6</v>
      </c>
      <c r="F99" s="67">
        <v>9</v>
      </c>
      <c r="G99" s="122" t="s">
        <v>65</v>
      </c>
      <c r="H99" s="84">
        <f>168.75-155.7-0.16-0.16+2</f>
        <v>14.730000000000011</v>
      </c>
      <c r="I99" s="84">
        <f t="shared" si="3"/>
        <v>300.49200000000019</v>
      </c>
      <c r="J99" s="59"/>
      <c r="AK99" s="44">
        <f t="shared" si="4"/>
        <v>3.4</v>
      </c>
    </row>
    <row r="100" spans="2:37">
      <c r="B100" s="107">
        <f t="shared" si="5"/>
        <v>92</v>
      </c>
      <c r="C100" s="41" t="s">
        <v>137</v>
      </c>
      <c r="D100" s="81"/>
      <c r="E100" s="81">
        <f>TRUNC(10.63/0.33+1.9)</f>
        <v>34</v>
      </c>
      <c r="F100" s="67">
        <v>3</v>
      </c>
      <c r="G100" s="122" t="s">
        <v>65</v>
      </c>
      <c r="H100" s="84">
        <v>5.66</v>
      </c>
      <c r="I100" s="84">
        <f t="shared" si="3"/>
        <v>72.357440000000011</v>
      </c>
      <c r="J100" s="59"/>
      <c r="AK100" s="44">
        <f t="shared" si="4"/>
        <v>0.376</v>
      </c>
    </row>
    <row r="101" spans="2:37">
      <c r="B101" s="107">
        <f t="shared" si="5"/>
        <v>93</v>
      </c>
      <c r="C101" s="41" t="s">
        <v>138</v>
      </c>
      <c r="D101" s="81"/>
      <c r="E101" s="81">
        <f>TRUNC(10.63/0.33+1.9)</f>
        <v>34</v>
      </c>
      <c r="F101" s="67">
        <v>3</v>
      </c>
      <c r="G101" s="122" t="s">
        <v>65</v>
      </c>
      <c r="H101" s="84">
        <v>1.42</v>
      </c>
      <c r="I101" s="84">
        <f t="shared" si="3"/>
        <v>18.153279999999999</v>
      </c>
      <c r="J101" s="59"/>
      <c r="AK101" s="44">
        <f t="shared" si="4"/>
        <v>0.376</v>
      </c>
    </row>
    <row r="102" spans="2:37">
      <c r="B102" s="107">
        <f t="shared" si="5"/>
        <v>94</v>
      </c>
      <c r="C102" s="38" t="s">
        <v>153</v>
      </c>
      <c r="D102" s="81"/>
      <c r="E102" s="81"/>
      <c r="F102" s="67"/>
      <c r="G102" s="122"/>
      <c r="H102" s="84"/>
      <c r="I102" s="84">
        <f t="shared" si="3"/>
        <v>0</v>
      </c>
      <c r="J102" s="59"/>
      <c r="AK102" s="44">
        <f t="shared" si="4"/>
        <v>0</v>
      </c>
    </row>
    <row r="103" spans="2:37">
      <c r="B103" s="107">
        <f t="shared" si="5"/>
        <v>95</v>
      </c>
      <c r="C103" s="38" t="s">
        <v>135</v>
      </c>
      <c r="D103" s="81"/>
      <c r="E103" s="81"/>
      <c r="F103" s="67"/>
      <c r="G103" s="122"/>
      <c r="H103" s="84"/>
      <c r="I103" s="84">
        <f t="shared" si="3"/>
        <v>0</v>
      </c>
      <c r="J103" s="59"/>
      <c r="AK103" s="44">
        <f t="shared" si="4"/>
        <v>0</v>
      </c>
    </row>
    <row r="104" spans="2:37">
      <c r="B104" s="107">
        <f t="shared" si="5"/>
        <v>96</v>
      </c>
      <c r="C104" s="41" t="s">
        <v>154</v>
      </c>
      <c r="D104" s="81"/>
      <c r="E104" s="81">
        <v>6</v>
      </c>
      <c r="F104" s="67">
        <v>9</v>
      </c>
      <c r="G104" s="122" t="s">
        <v>57</v>
      </c>
      <c r="H104" s="84">
        <f>144.4-134.5+4.5-0.25-0.16+1</f>
        <v>14.990000000000006</v>
      </c>
      <c r="I104" s="84">
        <f t="shared" si="3"/>
        <v>305.79600000000011</v>
      </c>
      <c r="J104" s="59"/>
      <c r="AK104" s="44">
        <f t="shared" si="4"/>
        <v>3.4</v>
      </c>
    </row>
    <row r="105" spans="2:37">
      <c r="B105" s="107">
        <f t="shared" si="5"/>
        <v>97</v>
      </c>
      <c r="C105" s="41" t="s">
        <v>137</v>
      </c>
      <c r="D105" s="81"/>
      <c r="E105" s="81">
        <f>TRUNC(8.74/0.33+1.9)</f>
        <v>28</v>
      </c>
      <c r="F105" s="67">
        <v>3</v>
      </c>
      <c r="G105" s="122" t="s">
        <v>65</v>
      </c>
      <c r="H105" s="84">
        <v>5.66</v>
      </c>
      <c r="I105" s="84">
        <f t="shared" si="3"/>
        <v>59.588480000000004</v>
      </c>
      <c r="J105" s="59"/>
      <c r="AK105" s="44">
        <f t="shared" si="4"/>
        <v>0.376</v>
      </c>
    </row>
    <row r="106" spans="2:37">
      <c r="B106" s="107">
        <f t="shared" si="5"/>
        <v>98</v>
      </c>
      <c r="C106" s="41" t="s">
        <v>138</v>
      </c>
      <c r="D106" s="81"/>
      <c r="E106" s="81">
        <f>TRUNC(8.74/0.33+1.9)</f>
        <v>28</v>
      </c>
      <c r="F106" s="67">
        <v>3</v>
      </c>
      <c r="G106" s="122" t="s">
        <v>65</v>
      </c>
      <c r="H106" s="84">
        <v>1.42</v>
      </c>
      <c r="I106" s="84">
        <f t="shared" si="3"/>
        <v>14.949759999999998</v>
      </c>
      <c r="J106" s="59"/>
      <c r="AK106" s="44">
        <f t="shared" si="4"/>
        <v>0.376</v>
      </c>
    </row>
    <row r="107" spans="2:37">
      <c r="B107" s="107">
        <f t="shared" si="5"/>
        <v>99</v>
      </c>
      <c r="C107" s="38"/>
      <c r="D107" s="81"/>
      <c r="E107" s="81"/>
      <c r="F107" s="67"/>
      <c r="G107" s="122"/>
      <c r="H107" s="84"/>
      <c r="I107" s="84">
        <f t="shared" si="3"/>
        <v>0</v>
      </c>
      <c r="J107" s="59"/>
      <c r="AK107" s="44">
        <f t="shared" si="4"/>
        <v>0</v>
      </c>
    </row>
    <row r="108" spans="2:37">
      <c r="B108" s="107">
        <f t="shared" si="5"/>
        <v>100</v>
      </c>
      <c r="C108" s="41"/>
      <c r="D108" s="81"/>
      <c r="E108" s="81">
        <v>6</v>
      </c>
      <c r="F108" s="67">
        <v>9</v>
      </c>
      <c r="G108" s="122" t="s">
        <v>57</v>
      </c>
      <c r="H108" s="84">
        <f>155.7-144.4+4.5-0.16*2</f>
        <v>15.479999999999983</v>
      </c>
      <c r="I108" s="84">
        <f t="shared" si="3"/>
        <v>315.79199999999963</v>
      </c>
      <c r="J108" s="59"/>
      <c r="AK108" s="44">
        <f t="shared" si="4"/>
        <v>3.4</v>
      </c>
    </row>
    <row r="109" spans="2:37">
      <c r="B109" s="107">
        <f t="shared" si="5"/>
        <v>101</v>
      </c>
      <c r="C109" s="38" t="s">
        <v>139</v>
      </c>
      <c r="D109" s="81"/>
      <c r="E109" s="81"/>
      <c r="F109" s="67"/>
      <c r="G109" s="122"/>
      <c r="H109" s="84"/>
      <c r="I109" s="84">
        <f t="shared" si="3"/>
        <v>0</v>
      </c>
      <c r="J109" s="59"/>
      <c r="AK109" s="44">
        <f t="shared" si="4"/>
        <v>0</v>
      </c>
    </row>
    <row r="110" spans="2:37">
      <c r="B110" s="107">
        <f t="shared" si="5"/>
        <v>102</v>
      </c>
      <c r="C110" s="41" t="s">
        <v>154</v>
      </c>
      <c r="D110" s="81"/>
      <c r="E110" s="81">
        <v>6</v>
      </c>
      <c r="F110" s="67">
        <v>9</v>
      </c>
      <c r="G110" s="122" t="s">
        <v>57</v>
      </c>
      <c r="H110" s="84">
        <f>155.7-144.4+4.5-0.16*2</f>
        <v>15.479999999999983</v>
      </c>
      <c r="I110" s="84">
        <f t="shared" si="3"/>
        <v>315.79199999999963</v>
      </c>
      <c r="J110" s="59"/>
      <c r="AK110" s="44">
        <f t="shared" si="4"/>
        <v>3.4</v>
      </c>
    </row>
    <row r="111" spans="2:37">
      <c r="B111" s="107">
        <f t="shared" si="5"/>
        <v>103</v>
      </c>
      <c r="C111" s="41" t="s">
        <v>137</v>
      </c>
      <c r="D111" s="81"/>
      <c r="E111" s="81">
        <f>TRUNC(9.04/0.33+1.9)</f>
        <v>29</v>
      </c>
      <c r="F111" s="67">
        <v>3</v>
      </c>
      <c r="G111" s="122" t="s">
        <v>65</v>
      </c>
      <c r="H111" s="84">
        <v>5.66</v>
      </c>
      <c r="I111" s="84">
        <f t="shared" si="3"/>
        <v>61.716640000000005</v>
      </c>
      <c r="J111" s="56"/>
      <c r="AK111" s="44">
        <f t="shared" si="4"/>
        <v>0.376</v>
      </c>
    </row>
    <row r="112" spans="2:37">
      <c r="B112" s="107">
        <f t="shared" si="5"/>
        <v>104</v>
      </c>
      <c r="C112" s="41" t="s">
        <v>138</v>
      </c>
      <c r="D112" s="81"/>
      <c r="E112" s="81">
        <f>TRUNC(9.04/0.33+1.9)</f>
        <v>29</v>
      </c>
      <c r="F112" s="67">
        <v>3</v>
      </c>
      <c r="G112" s="122" t="s">
        <v>65</v>
      </c>
      <c r="H112" s="84">
        <v>1.42</v>
      </c>
      <c r="I112" s="84">
        <f t="shared" si="3"/>
        <v>15.483679999999998</v>
      </c>
      <c r="J112" s="59"/>
      <c r="AK112" s="44">
        <f t="shared" si="4"/>
        <v>0.376</v>
      </c>
    </row>
    <row r="113" spans="2:37">
      <c r="B113" s="107">
        <f t="shared" si="5"/>
        <v>105</v>
      </c>
      <c r="C113" s="38" t="s">
        <v>156</v>
      </c>
      <c r="D113" s="81"/>
      <c r="E113" s="81"/>
      <c r="F113" s="67"/>
      <c r="G113" s="122"/>
      <c r="H113" s="84"/>
      <c r="I113" s="84">
        <f t="shared" si="3"/>
        <v>0</v>
      </c>
      <c r="J113" s="59"/>
      <c r="AK113" s="44">
        <f t="shared" si="4"/>
        <v>0</v>
      </c>
    </row>
    <row r="114" spans="2:37">
      <c r="B114" s="107">
        <f t="shared" si="5"/>
        <v>106</v>
      </c>
      <c r="C114" s="41" t="s">
        <v>155</v>
      </c>
      <c r="D114" s="81"/>
      <c r="E114" s="81">
        <v>6</v>
      </c>
      <c r="F114" s="67">
        <v>9</v>
      </c>
      <c r="G114" s="122" t="s">
        <v>65</v>
      </c>
      <c r="H114" s="84">
        <f>168.75-155.7-0.16-0.16+2</f>
        <v>14.730000000000011</v>
      </c>
      <c r="I114" s="84">
        <f t="shared" si="3"/>
        <v>300.49200000000019</v>
      </c>
      <c r="J114" s="59"/>
      <c r="AK114" s="44">
        <f t="shared" si="4"/>
        <v>3.4</v>
      </c>
    </row>
    <row r="115" spans="2:37">
      <c r="B115" s="107">
        <f t="shared" si="5"/>
        <v>107</v>
      </c>
      <c r="C115" s="41" t="s">
        <v>137</v>
      </c>
      <c r="D115" s="81"/>
      <c r="E115" s="81">
        <f>TRUNC(10.63/0.33+1.9)</f>
        <v>34</v>
      </c>
      <c r="F115" s="67">
        <v>3</v>
      </c>
      <c r="G115" s="122" t="s">
        <v>65</v>
      </c>
      <c r="H115" s="84">
        <v>5.66</v>
      </c>
      <c r="I115" s="84">
        <f t="shared" si="3"/>
        <v>72.357440000000011</v>
      </c>
      <c r="J115" s="59"/>
      <c r="AK115" s="44">
        <f t="shared" si="4"/>
        <v>0.376</v>
      </c>
    </row>
    <row r="116" spans="2:37">
      <c r="B116" s="107">
        <f t="shared" si="5"/>
        <v>108</v>
      </c>
      <c r="C116" s="41" t="s">
        <v>138</v>
      </c>
      <c r="D116" s="81"/>
      <c r="E116" s="81">
        <f>TRUNC(10.63/0.33+1.9)</f>
        <v>34</v>
      </c>
      <c r="F116" s="67">
        <v>3</v>
      </c>
      <c r="G116" s="122" t="s">
        <v>65</v>
      </c>
      <c r="H116" s="84">
        <v>1.42</v>
      </c>
      <c r="I116" s="84">
        <f t="shared" si="3"/>
        <v>18.153279999999999</v>
      </c>
      <c r="J116" s="59"/>
      <c r="AK116" s="44">
        <f t="shared" si="4"/>
        <v>0.376</v>
      </c>
    </row>
    <row r="117" spans="2:37">
      <c r="B117" s="107">
        <f t="shared" si="5"/>
        <v>109</v>
      </c>
      <c r="C117" s="38" t="s">
        <v>153</v>
      </c>
      <c r="D117" s="81"/>
      <c r="E117" s="81"/>
      <c r="F117" s="67"/>
      <c r="G117" s="122"/>
      <c r="H117" s="84"/>
      <c r="I117" s="84">
        <f t="shared" si="3"/>
        <v>0</v>
      </c>
      <c r="J117" s="59"/>
      <c r="AK117" s="44">
        <f t="shared" si="4"/>
        <v>0</v>
      </c>
    </row>
    <row r="118" spans="2:37">
      <c r="B118" s="107">
        <f t="shared" si="5"/>
        <v>110</v>
      </c>
      <c r="C118" s="38" t="s">
        <v>157</v>
      </c>
      <c r="D118" s="81"/>
      <c r="E118" s="81"/>
      <c r="F118" s="67"/>
      <c r="G118" s="122"/>
      <c r="H118" s="84"/>
      <c r="I118" s="84">
        <f t="shared" si="3"/>
        <v>0</v>
      </c>
      <c r="J118" s="59"/>
      <c r="AK118" s="44">
        <f t="shared" si="4"/>
        <v>0</v>
      </c>
    </row>
    <row r="119" spans="2:37">
      <c r="B119" s="107">
        <f t="shared" si="5"/>
        <v>111</v>
      </c>
      <c r="C119" s="41" t="s">
        <v>154</v>
      </c>
      <c r="D119" s="81"/>
      <c r="E119" s="81">
        <v>6</v>
      </c>
      <c r="F119" s="67">
        <v>9</v>
      </c>
      <c r="G119" s="122" t="s">
        <v>57</v>
      </c>
      <c r="H119" s="84">
        <f>149-137.4+4.5-0.25-0.16+1</f>
        <v>16.689999999999994</v>
      </c>
      <c r="I119" s="84">
        <f t="shared" si="3"/>
        <v>340.47599999999989</v>
      </c>
      <c r="J119" s="59"/>
      <c r="AK119" s="44">
        <f t="shared" si="4"/>
        <v>3.4</v>
      </c>
    </row>
    <row r="120" spans="2:37">
      <c r="B120" s="107">
        <f t="shared" si="5"/>
        <v>112</v>
      </c>
      <c r="C120" s="41" t="s">
        <v>137</v>
      </c>
      <c r="D120" s="81"/>
      <c r="E120" s="81">
        <f>TRUNC(10.44/0.33+1.9)</f>
        <v>33</v>
      </c>
      <c r="F120" s="67">
        <v>3</v>
      </c>
      <c r="G120" s="122" t="s">
        <v>65</v>
      </c>
      <c r="H120" s="84">
        <v>5.66</v>
      </c>
      <c r="I120" s="84">
        <f t="shared" si="3"/>
        <v>70.229280000000003</v>
      </c>
      <c r="J120" s="59"/>
      <c r="AK120" s="44">
        <f t="shared" si="4"/>
        <v>0.376</v>
      </c>
    </row>
    <row r="121" spans="2:37">
      <c r="B121" s="107">
        <f t="shared" si="5"/>
        <v>113</v>
      </c>
      <c r="C121" s="41" t="s">
        <v>138</v>
      </c>
      <c r="D121" s="81"/>
      <c r="E121" s="81">
        <f>TRUNC(10.44/0.33+1.9)</f>
        <v>33</v>
      </c>
      <c r="F121" s="67">
        <v>3</v>
      </c>
      <c r="G121" s="122" t="s">
        <v>65</v>
      </c>
      <c r="H121" s="84">
        <v>1.42</v>
      </c>
      <c r="I121" s="84">
        <f t="shared" si="3"/>
        <v>17.619359999999997</v>
      </c>
      <c r="J121" s="109"/>
      <c r="AK121" s="44">
        <f t="shared" si="4"/>
        <v>0.376</v>
      </c>
    </row>
    <row r="122" spans="2:37">
      <c r="B122" s="107">
        <f t="shared" si="5"/>
        <v>114</v>
      </c>
      <c r="C122" s="38" t="s">
        <v>158</v>
      </c>
      <c r="D122" s="81"/>
      <c r="E122" s="81"/>
      <c r="F122" s="67"/>
      <c r="G122" s="122"/>
      <c r="H122" s="84"/>
      <c r="I122" s="84">
        <f t="shared" si="3"/>
        <v>0</v>
      </c>
      <c r="J122" s="59"/>
      <c r="AK122" s="44">
        <f t="shared" si="4"/>
        <v>0</v>
      </c>
    </row>
    <row r="123" spans="2:37">
      <c r="B123" s="107">
        <f t="shared" si="5"/>
        <v>115</v>
      </c>
      <c r="C123" s="41" t="s">
        <v>154</v>
      </c>
      <c r="D123" s="81"/>
      <c r="E123" s="81">
        <v>6</v>
      </c>
      <c r="F123" s="67">
        <v>9</v>
      </c>
      <c r="G123" s="122" t="s">
        <v>57</v>
      </c>
      <c r="H123" s="84">
        <f>157-149+4.5-0.16*2</f>
        <v>12.18</v>
      </c>
      <c r="I123" s="84">
        <f t="shared" si="3"/>
        <v>248.47199999999998</v>
      </c>
      <c r="J123" s="59"/>
      <c r="AK123" s="44">
        <f t="shared" si="4"/>
        <v>3.4</v>
      </c>
    </row>
    <row r="124" spans="2:37">
      <c r="B124" s="107">
        <f t="shared" si="5"/>
        <v>116</v>
      </c>
      <c r="C124" s="41" t="s">
        <v>137</v>
      </c>
      <c r="D124" s="81"/>
      <c r="E124" s="81">
        <f>TRUNC(5.74/0.33+1.9)</f>
        <v>19</v>
      </c>
      <c r="F124" s="67">
        <v>3</v>
      </c>
      <c r="G124" s="122" t="s">
        <v>65</v>
      </c>
      <c r="H124" s="84">
        <v>5.66</v>
      </c>
      <c r="I124" s="84">
        <f t="shared" si="3"/>
        <v>40.435040000000008</v>
      </c>
      <c r="J124" s="59"/>
      <c r="AK124" s="44">
        <f t="shared" si="4"/>
        <v>0.376</v>
      </c>
    </row>
    <row r="125" spans="2:37">
      <c r="B125" s="107">
        <f t="shared" si="5"/>
        <v>117</v>
      </c>
      <c r="C125" s="41" t="s">
        <v>138</v>
      </c>
      <c r="D125" s="81"/>
      <c r="E125" s="81">
        <f>TRUNC(5.74/0.33+1.9)</f>
        <v>19</v>
      </c>
      <c r="F125" s="67">
        <v>3</v>
      </c>
      <c r="G125" s="122" t="s">
        <v>65</v>
      </c>
      <c r="H125" s="84">
        <v>1.42</v>
      </c>
      <c r="I125" s="84">
        <f t="shared" si="3"/>
        <v>10.14448</v>
      </c>
      <c r="J125" s="59"/>
      <c r="AK125" s="44">
        <f t="shared" si="4"/>
        <v>0.376</v>
      </c>
    </row>
    <row r="126" spans="2:37">
      <c r="B126" s="107">
        <f t="shared" si="5"/>
        <v>118</v>
      </c>
      <c r="C126" s="38" t="s">
        <v>159</v>
      </c>
      <c r="D126" s="81"/>
      <c r="E126" s="81"/>
      <c r="F126" s="67"/>
      <c r="G126" s="122"/>
      <c r="H126" s="84"/>
      <c r="I126" s="84">
        <f t="shared" si="3"/>
        <v>0</v>
      </c>
      <c r="J126" s="59"/>
      <c r="AK126" s="44">
        <f t="shared" si="4"/>
        <v>0</v>
      </c>
    </row>
    <row r="127" spans="2:37">
      <c r="B127" s="107">
        <f t="shared" si="5"/>
        <v>119</v>
      </c>
      <c r="C127" s="41" t="s">
        <v>155</v>
      </c>
      <c r="D127" s="81"/>
      <c r="E127" s="81">
        <v>6</v>
      </c>
      <c r="F127" s="67">
        <v>9</v>
      </c>
      <c r="G127" s="122" t="s">
        <v>65</v>
      </c>
      <c r="H127" s="84">
        <f>168.75-157-0.16-0.16+2</f>
        <v>13.43</v>
      </c>
      <c r="I127" s="84">
        <f t="shared" si="3"/>
        <v>273.97199999999998</v>
      </c>
      <c r="J127" s="59"/>
      <c r="AK127" s="44">
        <f t="shared" si="4"/>
        <v>3.4</v>
      </c>
    </row>
    <row r="128" spans="2:37">
      <c r="B128" s="107">
        <f t="shared" si="5"/>
        <v>120</v>
      </c>
      <c r="C128" s="41" t="s">
        <v>137</v>
      </c>
      <c r="D128" s="81"/>
      <c r="E128" s="81">
        <f>TRUNC(9.33/0.33+1.9)</f>
        <v>30</v>
      </c>
      <c r="F128" s="67">
        <v>3</v>
      </c>
      <c r="G128" s="122" t="s">
        <v>65</v>
      </c>
      <c r="H128" s="84">
        <v>5.66</v>
      </c>
      <c r="I128" s="84">
        <f t="shared" si="3"/>
        <v>63.844800000000006</v>
      </c>
      <c r="J128" s="59"/>
      <c r="AK128" s="44">
        <f t="shared" si="4"/>
        <v>0.376</v>
      </c>
    </row>
    <row r="129" spans="2:37">
      <c r="B129" s="107">
        <f t="shared" si="5"/>
        <v>121</v>
      </c>
      <c r="C129" s="41" t="s">
        <v>138</v>
      </c>
      <c r="D129" s="81"/>
      <c r="E129" s="81">
        <f>TRUNC(9.33/0.33+1.9)</f>
        <v>30</v>
      </c>
      <c r="F129" s="67">
        <v>3</v>
      </c>
      <c r="G129" s="122" t="s">
        <v>65</v>
      </c>
      <c r="H129" s="84">
        <v>1.42</v>
      </c>
      <c r="I129" s="84">
        <f t="shared" si="3"/>
        <v>16.017599999999998</v>
      </c>
      <c r="J129" s="59"/>
      <c r="AK129" s="44">
        <f t="shared" si="4"/>
        <v>0.376</v>
      </c>
    </row>
    <row r="130" spans="2:37">
      <c r="B130" s="107">
        <f t="shared" si="5"/>
        <v>122</v>
      </c>
      <c r="C130" s="38" t="s">
        <v>153</v>
      </c>
      <c r="D130" s="81"/>
      <c r="E130" s="81"/>
      <c r="F130" s="67"/>
      <c r="G130" s="122"/>
      <c r="H130" s="84"/>
      <c r="I130" s="84">
        <f t="shared" si="3"/>
        <v>0</v>
      </c>
      <c r="J130" s="59"/>
      <c r="AK130" s="44">
        <f t="shared" si="4"/>
        <v>0</v>
      </c>
    </row>
    <row r="131" spans="2:37">
      <c r="B131" s="107">
        <f t="shared" si="5"/>
        <v>123</v>
      </c>
      <c r="C131" s="38" t="s">
        <v>160</v>
      </c>
      <c r="D131" s="81"/>
      <c r="E131" s="81"/>
      <c r="F131" s="67"/>
      <c r="G131" s="122"/>
      <c r="H131" s="84"/>
      <c r="I131" s="84">
        <f t="shared" si="3"/>
        <v>0</v>
      </c>
      <c r="J131" s="59"/>
      <c r="AK131" s="44">
        <f t="shared" si="4"/>
        <v>0</v>
      </c>
    </row>
    <row r="132" spans="2:37">
      <c r="B132" s="107">
        <f t="shared" si="5"/>
        <v>124</v>
      </c>
      <c r="C132" s="41" t="s">
        <v>154</v>
      </c>
      <c r="D132" s="81"/>
      <c r="E132" s="81">
        <v>6</v>
      </c>
      <c r="F132" s="67">
        <v>9</v>
      </c>
      <c r="G132" s="122" t="s">
        <v>57</v>
      </c>
      <c r="H132" s="84">
        <f>147.2-137.4+4.5-0.25-0.16+1</f>
        <v>14.889999999999983</v>
      </c>
      <c r="I132" s="84">
        <f t="shared" si="3"/>
        <v>303.75599999999963</v>
      </c>
      <c r="J132" s="59"/>
      <c r="AK132" s="44">
        <f t="shared" si="4"/>
        <v>3.4</v>
      </c>
    </row>
    <row r="133" spans="2:37">
      <c r="B133" s="107">
        <f t="shared" si="5"/>
        <v>125</v>
      </c>
      <c r="C133" s="41" t="s">
        <v>137</v>
      </c>
      <c r="D133" s="81"/>
      <c r="E133" s="81">
        <f>TRUNC(8.64/0.33+1.9)</f>
        <v>28</v>
      </c>
      <c r="F133" s="67">
        <v>3</v>
      </c>
      <c r="G133" s="122" t="s">
        <v>65</v>
      </c>
      <c r="H133" s="84">
        <v>5.66</v>
      </c>
      <c r="I133" s="84">
        <f t="shared" si="3"/>
        <v>59.588480000000004</v>
      </c>
      <c r="J133" s="59"/>
      <c r="AK133" s="44">
        <f t="shared" si="4"/>
        <v>0.376</v>
      </c>
    </row>
    <row r="134" spans="2:37">
      <c r="B134" s="107">
        <f t="shared" si="5"/>
        <v>126</v>
      </c>
      <c r="C134" s="41" t="s">
        <v>138</v>
      </c>
      <c r="D134" s="81"/>
      <c r="E134" s="81">
        <f>TRUNC(8.64/0.33+1.9)</f>
        <v>28</v>
      </c>
      <c r="F134" s="67">
        <v>3</v>
      </c>
      <c r="G134" s="122" t="s">
        <v>65</v>
      </c>
      <c r="H134" s="84">
        <v>1.42</v>
      </c>
      <c r="I134" s="84">
        <f t="shared" si="3"/>
        <v>14.949759999999998</v>
      </c>
      <c r="J134" s="59"/>
      <c r="AK134" s="44">
        <f t="shared" si="4"/>
        <v>0.376</v>
      </c>
    </row>
    <row r="135" spans="2:37">
      <c r="B135" s="107">
        <f t="shared" si="5"/>
        <v>127</v>
      </c>
      <c r="C135" s="38" t="s">
        <v>161</v>
      </c>
      <c r="D135" s="81"/>
      <c r="E135" s="81"/>
      <c r="F135" s="67"/>
      <c r="G135" s="122"/>
      <c r="H135" s="84"/>
      <c r="I135" s="84">
        <f t="shared" si="3"/>
        <v>0</v>
      </c>
      <c r="J135" s="59"/>
      <c r="AK135" s="44">
        <f t="shared" si="4"/>
        <v>0</v>
      </c>
    </row>
    <row r="136" spans="2:37">
      <c r="B136" s="107">
        <f t="shared" si="5"/>
        <v>128</v>
      </c>
      <c r="C136" s="41" t="s">
        <v>154</v>
      </c>
      <c r="D136" s="81"/>
      <c r="E136" s="81">
        <v>6</v>
      </c>
      <c r="F136" s="67">
        <v>9</v>
      </c>
      <c r="G136" s="122" t="s">
        <v>57</v>
      </c>
      <c r="H136" s="84">
        <f>156.95-147.2+4.5-0.16*2</f>
        <v>13.93</v>
      </c>
      <c r="I136" s="84">
        <f t="shared" si="3"/>
        <v>284.17199999999997</v>
      </c>
      <c r="J136" s="59"/>
      <c r="AK136" s="44">
        <f t="shared" si="4"/>
        <v>3.4</v>
      </c>
    </row>
    <row r="137" spans="2:37">
      <c r="B137" s="107">
        <f t="shared" si="5"/>
        <v>129</v>
      </c>
      <c r="C137" s="41" t="s">
        <v>137</v>
      </c>
      <c r="D137" s="81"/>
      <c r="E137" s="81">
        <f>TRUNC(7.49/0.33+1.9)</f>
        <v>24</v>
      </c>
      <c r="F137" s="67">
        <v>3</v>
      </c>
      <c r="G137" s="122" t="s">
        <v>65</v>
      </c>
      <c r="H137" s="84">
        <v>5.66</v>
      </c>
      <c r="I137" s="84">
        <f t="shared" ref="I137:I200" si="6">IF(D137="",AK137*H137*E137,AK137*H137*E137*D137)</f>
        <v>51.075840000000007</v>
      </c>
      <c r="J137" s="59"/>
      <c r="AK137" s="44">
        <f t="shared" ref="AK137:AK200" si="7">IF(F137="",0,VLOOKUP(F137,$CI$16:$CJ$38,2,FALSE))</f>
        <v>0.376</v>
      </c>
    </row>
    <row r="138" spans="2:37">
      <c r="B138" s="107">
        <f t="shared" ref="B138:B201" si="8">IF(B137="SL.NO",1,B137+1)</f>
        <v>130</v>
      </c>
      <c r="C138" s="41" t="s">
        <v>138</v>
      </c>
      <c r="D138" s="81"/>
      <c r="E138" s="81">
        <f>TRUNC(5.74/0.33+1.9)</f>
        <v>19</v>
      </c>
      <c r="F138" s="67">
        <v>3</v>
      </c>
      <c r="G138" s="122" t="s">
        <v>65</v>
      </c>
      <c r="H138" s="84">
        <v>1.42</v>
      </c>
      <c r="I138" s="84">
        <f t="shared" si="6"/>
        <v>10.14448</v>
      </c>
      <c r="J138" s="59"/>
      <c r="AK138" s="44">
        <f t="shared" si="7"/>
        <v>0.376</v>
      </c>
    </row>
    <row r="139" spans="2:37">
      <c r="B139" s="107">
        <f t="shared" si="8"/>
        <v>131</v>
      </c>
      <c r="C139" s="38" t="s">
        <v>162</v>
      </c>
      <c r="D139" s="81"/>
      <c r="E139" s="81"/>
      <c r="F139" s="67"/>
      <c r="G139" s="122"/>
      <c r="H139" s="84"/>
      <c r="I139" s="84">
        <f t="shared" si="6"/>
        <v>0</v>
      </c>
      <c r="J139" s="59"/>
      <c r="AK139" s="44">
        <f t="shared" si="7"/>
        <v>0</v>
      </c>
    </row>
    <row r="140" spans="2:37">
      <c r="B140" s="107">
        <f t="shared" si="8"/>
        <v>132</v>
      </c>
      <c r="C140" s="41" t="s">
        <v>155</v>
      </c>
      <c r="D140" s="81"/>
      <c r="E140" s="81">
        <v>6</v>
      </c>
      <c r="F140" s="67">
        <v>9</v>
      </c>
      <c r="G140" s="122" t="s">
        <v>65</v>
      </c>
      <c r="H140" s="84">
        <f>168.75-156.95-0.16-0.16+2</f>
        <v>13.480000000000011</v>
      </c>
      <c r="I140" s="84">
        <f t="shared" si="6"/>
        <v>274.99200000000019</v>
      </c>
      <c r="J140" s="59"/>
      <c r="AK140" s="44">
        <f t="shared" si="7"/>
        <v>3.4</v>
      </c>
    </row>
    <row r="141" spans="2:37">
      <c r="B141" s="107">
        <f t="shared" si="8"/>
        <v>133</v>
      </c>
      <c r="C141" s="41" t="s">
        <v>137</v>
      </c>
      <c r="D141" s="81"/>
      <c r="E141" s="81">
        <f>TRUNC(9.38/0.33+1.9)</f>
        <v>30</v>
      </c>
      <c r="F141" s="67">
        <v>3</v>
      </c>
      <c r="G141" s="122" t="s">
        <v>65</v>
      </c>
      <c r="H141" s="84">
        <v>5.66</v>
      </c>
      <c r="I141" s="84">
        <f t="shared" si="6"/>
        <v>63.844800000000006</v>
      </c>
      <c r="J141" s="59"/>
      <c r="AK141" s="44">
        <f t="shared" si="7"/>
        <v>0.376</v>
      </c>
    </row>
    <row r="142" spans="2:37">
      <c r="B142" s="107">
        <f t="shared" si="8"/>
        <v>134</v>
      </c>
      <c r="C142" s="41" t="s">
        <v>138</v>
      </c>
      <c r="D142" s="81"/>
      <c r="E142" s="81">
        <f>TRUNC(9.54/0.33+1.9)</f>
        <v>30</v>
      </c>
      <c r="F142" s="67">
        <v>3</v>
      </c>
      <c r="G142" s="122" t="s">
        <v>65</v>
      </c>
      <c r="H142" s="84">
        <v>1.42</v>
      </c>
      <c r="I142" s="84">
        <f t="shared" si="6"/>
        <v>16.017599999999998</v>
      </c>
      <c r="J142" s="59"/>
      <c r="AK142" s="44">
        <f t="shared" si="7"/>
        <v>0.376</v>
      </c>
    </row>
    <row r="143" spans="2:37">
      <c r="B143" s="107">
        <f t="shared" si="8"/>
        <v>135</v>
      </c>
      <c r="C143" s="38" t="s">
        <v>153</v>
      </c>
      <c r="D143" s="81"/>
      <c r="E143" s="81"/>
      <c r="F143" s="67"/>
      <c r="G143" s="122"/>
      <c r="H143" s="84"/>
      <c r="I143" s="84">
        <f t="shared" si="6"/>
        <v>0</v>
      </c>
      <c r="J143" s="59"/>
      <c r="AK143" s="44">
        <f t="shared" si="7"/>
        <v>0</v>
      </c>
    </row>
    <row r="144" spans="2:37">
      <c r="B144" s="107">
        <f t="shared" si="8"/>
        <v>136</v>
      </c>
      <c r="C144" s="38" t="s">
        <v>163</v>
      </c>
      <c r="D144" s="81"/>
      <c r="E144" s="81"/>
      <c r="F144" s="67"/>
      <c r="G144" s="122"/>
      <c r="H144" s="84"/>
      <c r="I144" s="84">
        <f t="shared" si="6"/>
        <v>0</v>
      </c>
      <c r="J144" s="59"/>
      <c r="AK144" s="44">
        <f t="shared" si="7"/>
        <v>0</v>
      </c>
    </row>
    <row r="145" spans="2:37">
      <c r="B145" s="107">
        <f t="shared" si="8"/>
        <v>137</v>
      </c>
      <c r="C145" s="41" t="s">
        <v>154</v>
      </c>
      <c r="D145" s="81"/>
      <c r="E145" s="81">
        <v>6</v>
      </c>
      <c r="F145" s="67">
        <v>9</v>
      </c>
      <c r="G145" s="122" t="s">
        <v>57</v>
      </c>
      <c r="H145" s="84">
        <f>147.2-137.4+4.5-0.25-0.16+1</f>
        <v>14.889999999999983</v>
      </c>
      <c r="I145" s="84">
        <f t="shared" si="6"/>
        <v>303.75599999999963</v>
      </c>
      <c r="J145" s="59"/>
      <c r="AK145" s="44">
        <f t="shared" si="7"/>
        <v>3.4</v>
      </c>
    </row>
    <row r="146" spans="2:37">
      <c r="B146" s="107">
        <f t="shared" si="8"/>
        <v>138</v>
      </c>
      <c r="C146" s="41" t="s">
        <v>137</v>
      </c>
      <c r="D146" s="81"/>
      <c r="E146" s="81">
        <f>TRUNC(8.64/0.33+1.9)</f>
        <v>28</v>
      </c>
      <c r="F146" s="67">
        <v>3</v>
      </c>
      <c r="G146" s="122" t="s">
        <v>65</v>
      </c>
      <c r="H146" s="84">
        <v>5.66</v>
      </c>
      <c r="I146" s="84">
        <f t="shared" si="6"/>
        <v>59.588480000000004</v>
      </c>
      <c r="J146" s="59"/>
      <c r="AK146" s="44">
        <f t="shared" si="7"/>
        <v>0.376</v>
      </c>
    </row>
    <row r="147" spans="2:37">
      <c r="B147" s="107">
        <f t="shared" si="8"/>
        <v>139</v>
      </c>
      <c r="C147" s="41" t="s">
        <v>138</v>
      </c>
      <c r="D147" s="81"/>
      <c r="E147" s="81">
        <f>TRUNC(8.64/0.33+1.9)</f>
        <v>28</v>
      </c>
      <c r="F147" s="67">
        <v>3</v>
      </c>
      <c r="G147" s="122" t="s">
        <v>65</v>
      </c>
      <c r="H147" s="84">
        <v>1.42</v>
      </c>
      <c r="I147" s="84">
        <f t="shared" si="6"/>
        <v>14.949759999999998</v>
      </c>
      <c r="J147" s="59"/>
      <c r="AK147" s="44">
        <f t="shared" si="7"/>
        <v>0.376</v>
      </c>
    </row>
    <row r="148" spans="2:37">
      <c r="B148" s="107">
        <f t="shared" si="8"/>
        <v>140</v>
      </c>
      <c r="C148" s="38" t="s">
        <v>161</v>
      </c>
      <c r="D148" s="81"/>
      <c r="E148" s="81"/>
      <c r="F148" s="67"/>
      <c r="G148" s="122"/>
      <c r="H148" s="84"/>
      <c r="I148" s="84">
        <f t="shared" si="6"/>
        <v>0</v>
      </c>
      <c r="J148" s="59"/>
      <c r="AK148" s="44">
        <f t="shared" si="7"/>
        <v>0</v>
      </c>
    </row>
    <row r="149" spans="2:37">
      <c r="B149" s="107">
        <f t="shared" si="8"/>
        <v>141</v>
      </c>
      <c r="C149" s="41" t="s">
        <v>154</v>
      </c>
      <c r="D149" s="81"/>
      <c r="E149" s="81">
        <v>6</v>
      </c>
      <c r="F149" s="67">
        <v>9</v>
      </c>
      <c r="G149" s="122" t="s">
        <v>57</v>
      </c>
      <c r="H149" s="84">
        <f>156.95-147.2+4.5-0.16*2</f>
        <v>13.93</v>
      </c>
      <c r="I149" s="84">
        <f t="shared" si="6"/>
        <v>284.17199999999997</v>
      </c>
      <c r="J149" s="59"/>
      <c r="AK149" s="44">
        <f t="shared" si="7"/>
        <v>3.4</v>
      </c>
    </row>
    <row r="150" spans="2:37">
      <c r="B150" s="107">
        <f t="shared" si="8"/>
        <v>142</v>
      </c>
      <c r="C150" s="41" t="s">
        <v>137</v>
      </c>
      <c r="D150" s="81"/>
      <c r="E150" s="81">
        <f>TRUNC(7.49/0.33+1.9)</f>
        <v>24</v>
      </c>
      <c r="F150" s="67">
        <v>3</v>
      </c>
      <c r="G150" s="122" t="s">
        <v>65</v>
      </c>
      <c r="H150" s="84">
        <v>5.66</v>
      </c>
      <c r="I150" s="84">
        <f t="shared" si="6"/>
        <v>51.075840000000007</v>
      </c>
      <c r="J150" s="59"/>
      <c r="AK150" s="44">
        <f t="shared" si="7"/>
        <v>0.376</v>
      </c>
    </row>
    <row r="151" spans="2:37">
      <c r="B151" s="107">
        <f t="shared" si="8"/>
        <v>143</v>
      </c>
      <c r="C151" s="41" t="s">
        <v>138</v>
      </c>
      <c r="D151" s="81"/>
      <c r="E151" s="81">
        <f>TRUNC(7.49/0.33+1.9)</f>
        <v>24</v>
      </c>
      <c r="F151" s="67">
        <v>3</v>
      </c>
      <c r="G151" s="122" t="s">
        <v>65</v>
      </c>
      <c r="H151" s="84">
        <v>1.42</v>
      </c>
      <c r="I151" s="84">
        <f t="shared" si="6"/>
        <v>12.814079999999999</v>
      </c>
      <c r="J151" s="59"/>
      <c r="AK151" s="44">
        <f t="shared" si="7"/>
        <v>0.376</v>
      </c>
    </row>
    <row r="152" spans="2:37">
      <c r="B152" s="107">
        <f t="shared" si="8"/>
        <v>144</v>
      </c>
      <c r="C152" s="38" t="s">
        <v>162</v>
      </c>
      <c r="D152" s="81"/>
      <c r="E152" s="81"/>
      <c r="F152" s="67"/>
      <c r="G152" s="122"/>
      <c r="H152" s="84"/>
      <c r="I152" s="84">
        <f t="shared" si="6"/>
        <v>0</v>
      </c>
      <c r="J152" s="59"/>
      <c r="AK152" s="44">
        <f t="shared" si="7"/>
        <v>0</v>
      </c>
    </row>
    <row r="153" spans="2:37">
      <c r="B153" s="107">
        <f t="shared" si="8"/>
        <v>145</v>
      </c>
      <c r="C153" s="41" t="s">
        <v>155</v>
      </c>
      <c r="D153" s="81"/>
      <c r="E153" s="81">
        <v>6</v>
      </c>
      <c r="F153" s="67">
        <v>9</v>
      </c>
      <c r="G153" s="122" t="s">
        <v>65</v>
      </c>
      <c r="H153" s="84">
        <f>168.75-156.95-0.16-0.16+2</f>
        <v>13.480000000000011</v>
      </c>
      <c r="I153" s="84">
        <f t="shared" si="6"/>
        <v>274.99200000000019</v>
      </c>
      <c r="J153" s="59"/>
      <c r="AK153" s="44">
        <f t="shared" si="7"/>
        <v>3.4</v>
      </c>
    </row>
    <row r="154" spans="2:37">
      <c r="B154" s="107">
        <f t="shared" si="8"/>
        <v>146</v>
      </c>
      <c r="C154" s="41" t="s">
        <v>137</v>
      </c>
      <c r="D154" s="81"/>
      <c r="E154" s="81">
        <f>TRUNC(9.54/0.33+1.9)</f>
        <v>30</v>
      </c>
      <c r="F154" s="67">
        <v>3</v>
      </c>
      <c r="G154" s="122" t="s">
        <v>65</v>
      </c>
      <c r="H154" s="84">
        <v>5.66</v>
      </c>
      <c r="I154" s="84">
        <f t="shared" si="6"/>
        <v>63.844800000000006</v>
      </c>
      <c r="J154" s="59"/>
      <c r="AK154" s="44">
        <f t="shared" si="7"/>
        <v>0.376</v>
      </c>
    </row>
    <row r="155" spans="2:37">
      <c r="B155" s="107">
        <f t="shared" si="8"/>
        <v>147</v>
      </c>
      <c r="C155" s="41" t="s">
        <v>138</v>
      </c>
      <c r="D155" s="81"/>
      <c r="E155" s="81">
        <f>TRUNC(9.54/0.33+1.9)</f>
        <v>30</v>
      </c>
      <c r="F155" s="67">
        <v>3</v>
      </c>
      <c r="G155" s="122" t="s">
        <v>65</v>
      </c>
      <c r="H155" s="84">
        <v>1.42</v>
      </c>
      <c r="I155" s="84">
        <f t="shared" si="6"/>
        <v>16.017599999999998</v>
      </c>
      <c r="J155" s="59"/>
      <c r="AK155" s="44">
        <f t="shared" si="7"/>
        <v>0.376</v>
      </c>
    </row>
    <row r="156" spans="2:37">
      <c r="B156" s="107">
        <f t="shared" si="8"/>
        <v>148</v>
      </c>
      <c r="C156" s="38" t="s">
        <v>164</v>
      </c>
      <c r="D156" s="81"/>
      <c r="E156" s="81"/>
      <c r="F156" s="67"/>
      <c r="G156" s="122"/>
      <c r="H156" s="84"/>
      <c r="I156" s="84">
        <f t="shared" si="6"/>
        <v>0</v>
      </c>
      <c r="J156" s="59"/>
      <c r="AK156" s="44">
        <f t="shared" si="7"/>
        <v>0</v>
      </c>
    </row>
    <row r="157" spans="2:37">
      <c r="B157" s="107">
        <f t="shared" si="8"/>
        <v>149</v>
      </c>
      <c r="C157" s="38"/>
      <c r="D157" s="81"/>
      <c r="E157" s="81"/>
      <c r="F157" s="67"/>
      <c r="G157" s="122"/>
      <c r="H157" s="84"/>
      <c r="I157" s="84">
        <f t="shared" si="6"/>
        <v>0</v>
      </c>
      <c r="J157" s="59"/>
      <c r="AK157" s="44">
        <f t="shared" si="7"/>
        <v>0</v>
      </c>
    </row>
    <row r="158" spans="2:37">
      <c r="B158" s="107">
        <f t="shared" si="8"/>
        <v>150</v>
      </c>
      <c r="C158" s="41"/>
      <c r="D158" s="81"/>
      <c r="E158" s="81"/>
      <c r="F158" s="67"/>
      <c r="G158" s="122"/>
      <c r="H158" s="84"/>
      <c r="I158" s="84">
        <f t="shared" si="6"/>
        <v>0</v>
      </c>
      <c r="J158" s="59"/>
      <c r="AK158" s="44">
        <f t="shared" si="7"/>
        <v>0</v>
      </c>
    </row>
    <row r="159" spans="2:37">
      <c r="B159" s="107">
        <f t="shared" si="8"/>
        <v>151</v>
      </c>
      <c r="C159" s="38" t="s">
        <v>157</v>
      </c>
      <c r="D159" s="81"/>
      <c r="E159" s="81"/>
      <c r="F159" s="67"/>
      <c r="G159" s="122"/>
      <c r="H159" s="84"/>
      <c r="I159" s="84">
        <f t="shared" si="6"/>
        <v>0</v>
      </c>
      <c r="J159" s="59"/>
      <c r="AK159" s="44">
        <f t="shared" si="7"/>
        <v>0</v>
      </c>
    </row>
    <row r="160" spans="2:37">
      <c r="B160" s="107">
        <f t="shared" si="8"/>
        <v>152</v>
      </c>
      <c r="C160" s="41" t="s">
        <v>154</v>
      </c>
      <c r="D160" s="81"/>
      <c r="E160" s="81">
        <v>6</v>
      </c>
      <c r="F160" s="67">
        <v>9</v>
      </c>
      <c r="G160" s="122" t="s">
        <v>57</v>
      </c>
      <c r="H160" s="84">
        <f>149-137.4+4.5-0.25-0.16+1</f>
        <v>16.689999999999994</v>
      </c>
      <c r="I160" s="84">
        <f t="shared" si="6"/>
        <v>340.47599999999989</v>
      </c>
      <c r="J160" s="59"/>
      <c r="AK160" s="44">
        <f t="shared" si="7"/>
        <v>3.4</v>
      </c>
    </row>
    <row r="161" spans="2:37">
      <c r="B161" s="107">
        <f t="shared" si="8"/>
        <v>153</v>
      </c>
      <c r="C161" s="41" t="s">
        <v>137</v>
      </c>
      <c r="D161" s="81"/>
      <c r="E161" s="81">
        <f>TRUNC(10.44/0.33+1.9)</f>
        <v>33</v>
      </c>
      <c r="F161" s="67">
        <v>3</v>
      </c>
      <c r="G161" s="122" t="s">
        <v>65</v>
      </c>
      <c r="H161" s="84">
        <v>5.66</v>
      </c>
      <c r="I161" s="84">
        <f t="shared" si="6"/>
        <v>70.229280000000003</v>
      </c>
      <c r="J161" s="59"/>
      <c r="AK161" s="44">
        <f t="shared" si="7"/>
        <v>0.376</v>
      </c>
    </row>
    <row r="162" spans="2:37">
      <c r="B162" s="107">
        <f t="shared" si="8"/>
        <v>154</v>
      </c>
      <c r="C162" s="41" t="s">
        <v>138</v>
      </c>
      <c r="D162" s="81"/>
      <c r="E162" s="81">
        <f>TRUNC(10.44/0.33+1.9)</f>
        <v>33</v>
      </c>
      <c r="F162" s="67">
        <v>3</v>
      </c>
      <c r="G162" s="122" t="s">
        <v>65</v>
      </c>
      <c r="H162" s="84">
        <v>1.42</v>
      </c>
      <c r="I162" s="84">
        <f t="shared" si="6"/>
        <v>17.619359999999997</v>
      </c>
      <c r="J162" s="59"/>
      <c r="AK162" s="44">
        <f t="shared" si="7"/>
        <v>0.376</v>
      </c>
    </row>
    <row r="163" spans="2:37">
      <c r="B163" s="107">
        <f t="shared" si="8"/>
        <v>155</v>
      </c>
      <c r="C163" s="38" t="s">
        <v>158</v>
      </c>
      <c r="D163" s="81"/>
      <c r="E163" s="81"/>
      <c r="F163" s="67"/>
      <c r="G163" s="122"/>
      <c r="H163" s="84"/>
      <c r="I163" s="84">
        <f t="shared" si="6"/>
        <v>0</v>
      </c>
      <c r="J163" s="59"/>
      <c r="AK163" s="44">
        <f t="shared" si="7"/>
        <v>0</v>
      </c>
    </row>
    <row r="164" spans="2:37">
      <c r="B164" s="107">
        <f t="shared" si="8"/>
        <v>156</v>
      </c>
      <c r="C164" s="41" t="s">
        <v>154</v>
      </c>
      <c r="D164" s="81"/>
      <c r="E164" s="81">
        <v>6</v>
      </c>
      <c r="F164" s="67">
        <v>9</v>
      </c>
      <c r="G164" s="122" t="s">
        <v>57</v>
      </c>
      <c r="H164" s="84">
        <f>157-149+4.5-0.16*2</f>
        <v>12.18</v>
      </c>
      <c r="I164" s="84">
        <f t="shared" si="6"/>
        <v>248.47199999999998</v>
      </c>
      <c r="J164" s="59"/>
      <c r="AK164" s="44">
        <f t="shared" si="7"/>
        <v>3.4</v>
      </c>
    </row>
    <row r="165" spans="2:37">
      <c r="B165" s="107">
        <f t="shared" si="8"/>
        <v>157</v>
      </c>
      <c r="C165" s="41" t="s">
        <v>137</v>
      </c>
      <c r="D165" s="81"/>
      <c r="E165" s="81">
        <f>TRUNC(5.74/0.33+1.9)</f>
        <v>19</v>
      </c>
      <c r="F165" s="67">
        <v>3</v>
      </c>
      <c r="G165" s="122" t="s">
        <v>65</v>
      </c>
      <c r="H165" s="84">
        <v>5.66</v>
      </c>
      <c r="I165" s="84">
        <f t="shared" si="6"/>
        <v>40.435040000000008</v>
      </c>
      <c r="J165" s="59"/>
      <c r="AK165" s="44">
        <f t="shared" si="7"/>
        <v>0.376</v>
      </c>
    </row>
    <row r="166" spans="2:37">
      <c r="B166" s="107">
        <f t="shared" si="8"/>
        <v>158</v>
      </c>
      <c r="C166" s="41" t="s">
        <v>138</v>
      </c>
      <c r="D166" s="81"/>
      <c r="E166" s="81">
        <f>TRUNC(5.74/0.33+1.9)</f>
        <v>19</v>
      </c>
      <c r="F166" s="67">
        <v>3</v>
      </c>
      <c r="G166" s="122" t="s">
        <v>65</v>
      </c>
      <c r="H166" s="84">
        <v>1.42</v>
      </c>
      <c r="I166" s="84">
        <f t="shared" si="6"/>
        <v>10.14448</v>
      </c>
      <c r="J166" s="59"/>
      <c r="AK166" s="44">
        <f t="shared" si="7"/>
        <v>0.376</v>
      </c>
    </row>
    <row r="167" spans="2:37">
      <c r="B167" s="107">
        <f t="shared" si="8"/>
        <v>159</v>
      </c>
      <c r="C167" s="38" t="s">
        <v>159</v>
      </c>
      <c r="D167" s="81"/>
      <c r="E167" s="81"/>
      <c r="F167" s="67"/>
      <c r="G167" s="122"/>
      <c r="H167" s="84"/>
      <c r="I167" s="84">
        <f t="shared" si="6"/>
        <v>0</v>
      </c>
      <c r="J167" s="59"/>
      <c r="AK167" s="44">
        <f t="shared" si="7"/>
        <v>0</v>
      </c>
    </row>
    <row r="168" spans="2:37">
      <c r="B168" s="107">
        <f t="shared" si="8"/>
        <v>160</v>
      </c>
      <c r="C168" s="41" t="s">
        <v>155</v>
      </c>
      <c r="D168" s="81"/>
      <c r="E168" s="81">
        <v>6</v>
      </c>
      <c r="F168" s="67">
        <v>9</v>
      </c>
      <c r="G168" s="122" t="s">
        <v>65</v>
      </c>
      <c r="H168" s="84">
        <f>168.75-157-0.16-0.16+2</f>
        <v>13.43</v>
      </c>
      <c r="I168" s="84">
        <f t="shared" si="6"/>
        <v>273.97199999999998</v>
      </c>
      <c r="J168" s="59"/>
      <c r="AK168" s="44">
        <f t="shared" si="7"/>
        <v>3.4</v>
      </c>
    </row>
    <row r="169" spans="2:37">
      <c r="B169" s="107">
        <f t="shared" si="8"/>
        <v>161</v>
      </c>
      <c r="C169" s="41" t="s">
        <v>137</v>
      </c>
      <c r="D169" s="81"/>
      <c r="E169" s="81">
        <f>TRUNC(9.3/0.33+1.9)</f>
        <v>30</v>
      </c>
      <c r="F169" s="67">
        <v>3</v>
      </c>
      <c r="G169" s="122" t="s">
        <v>65</v>
      </c>
      <c r="H169" s="84">
        <v>5.66</v>
      </c>
      <c r="I169" s="84">
        <f t="shared" si="6"/>
        <v>63.844800000000006</v>
      </c>
      <c r="J169" s="109"/>
      <c r="AK169" s="44">
        <f t="shared" si="7"/>
        <v>0.376</v>
      </c>
    </row>
    <row r="170" spans="2:37">
      <c r="B170" s="107">
        <f t="shared" si="8"/>
        <v>162</v>
      </c>
      <c r="C170" s="41" t="s">
        <v>138</v>
      </c>
      <c r="D170" s="81"/>
      <c r="E170" s="81">
        <f>TRUNC(9.3/0.33+1.9)</f>
        <v>30</v>
      </c>
      <c r="F170" s="67">
        <v>3</v>
      </c>
      <c r="G170" s="122" t="s">
        <v>65</v>
      </c>
      <c r="H170" s="84">
        <v>1.42</v>
      </c>
      <c r="I170" s="84">
        <f t="shared" si="6"/>
        <v>16.017599999999998</v>
      </c>
      <c r="J170" s="59"/>
      <c r="AK170" s="44">
        <f t="shared" si="7"/>
        <v>0.376</v>
      </c>
    </row>
    <row r="171" spans="2:37">
      <c r="B171" s="107">
        <f t="shared" si="8"/>
        <v>163</v>
      </c>
      <c r="C171" s="38" t="s">
        <v>164</v>
      </c>
      <c r="D171" s="81"/>
      <c r="E171" s="81"/>
      <c r="F171" s="67"/>
      <c r="G171" s="122"/>
      <c r="H171" s="84"/>
      <c r="I171" s="84">
        <f t="shared" si="6"/>
        <v>0</v>
      </c>
      <c r="J171" s="59"/>
      <c r="AK171" s="44">
        <f t="shared" si="7"/>
        <v>0</v>
      </c>
    </row>
    <row r="172" spans="2:37">
      <c r="B172" s="107">
        <f t="shared" si="8"/>
        <v>164</v>
      </c>
      <c r="C172" s="38" t="s">
        <v>165</v>
      </c>
      <c r="D172" s="81"/>
      <c r="E172" s="81"/>
      <c r="F172" s="67"/>
      <c r="G172" s="122"/>
      <c r="H172" s="84"/>
      <c r="I172" s="84">
        <f t="shared" si="6"/>
        <v>0</v>
      </c>
      <c r="J172" s="59"/>
      <c r="AK172" s="44">
        <f t="shared" si="7"/>
        <v>0</v>
      </c>
    </row>
    <row r="173" spans="2:37">
      <c r="B173" s="107">
        <f t="shared" si="8"/>
        <v>165</v>
      </c>
      <c r="C173" s="41" t="s">
        <v>154</v>
      </c>
      <c r="D173" s="81"/>
      <c r="E173" s="81">
        <v>6</v>
      </c>
      <c r="F173" s="67">
        <v>9</v>
      </c>
      <c r="G173" s="122" t="s">
        <v>57</v>
      </c>
      <c r="H173" s="84">
        <f>148.6-136.8+4.5-0.25-0.16+1</f>
        <v>16.889999999999983</v>
      </c>
      <c r="I173" s="84">
        <f t="shared" si="6"/>
        <v>344.55599999999964</v>
      </c>
      <c r="J173" s="59"/>
      <c r="AK173" s="44">
        <f t="shared" si="7"/>
        <v>3.4</v>
      </c>
    </row>
    <row r="174" spans="2:37">
      <c r="B174" s="107">
        <f t="shared" si="8"/>
        <v>166</v>
      </c>
      <c r="C174" s="41" t="s">
        <v>137</v>
      </c>
      <c r="D174" s="81"/>
      <c r="E174" s="81">
        <f>TRUNC(10.64/0.33+1.9)</f>
        <v>34</v>
      </c>
      <c r="F174" s="67">
        <v>3</v>
      </c>
      <c r="G174" s="122" t="s">
        <v>65</v>
      </c>
      <c r="H174" s="84">
        <v>5.66</v>
      </c>
      <c r="I174" s="84">
        <f t="shared" si="6"/>
        <v>72.357440000000011</v>
      </c>
      <c r="J174" s="59"/>
      <c r="AK174" s="44">
        <f t="shared" si="7"/>
        <v>0.376</v>
      </c>
    </row>
    <row r="175" spans="2:37">
      <c r="B175" s="107">
        <f t="shared" si="8"/>
        <v>167</v>
      </c>
      <c r="C175" s="41" t="s">
        <v>138</v>
      </c>
      <c r="D175" s="81"/>
      <c r="E175" s="81">
        <f>TRUNC(10.64/0.33+1.9)</f>
        <v>34</v>
      </c>
      <c r="F175" s="67">
        <v>3</v>
      </c>
      <c r="G175" s="122" t="s">
        <v>65</v>
      </c>
      <c r="H175" s="84">
        <v>1.42</v>
      </c>
      <c r="I175" s="84">
        <f t="shared" si="6"/>
        <v>18.153279999999999</v>
      </c>
      <c r="J175" s="59"/>
      <c r="AK175" s="44">
        <f t="shared" si="7"/>
        <v>0.376</v>
      </c>
    </row>
    <row r="176" spans="2:37">
      <c r="B176" s="107">
        <f t="shared" si="8"/>
        <v>168</v>
      </c>
      <c r="C176" s="38" t="s">
        <v>166</v>
      </c>
      <c r="D176" s="81"/>
      <c r="E176" s="81"/>
      <c r="F176" s="67"/>
      <c r="G176" s="122"/>
      <c r="H176" s="84"/>
      <c r="I176" s="84">
        <f t="shared" si="6"/>
        <v>0</v>
      </c>
      <c r="J176" s="59"/>
      <c r="AK176" s="44">
        <f t="shared" si="7"/>
        <v>0</v>
      </c>
    </row>
    <row r="177" spans="2:37">
      <c r="B177" s="107">
        <f t="shared" si="8"/>
        <v>169</v>
      </c>
      <c r="C177" s="41" t="s">
        <v>154</v>
      </c>
      <c r="D177" s="81"/>
      <c r="E177" s="81">
        <v>6</v>
      </c>
      <c r="F177" s="67">
        <v>9</v>
      </c>
      <c r="G177" s="122" t="s">
        <v>57</v>
      </c>
      <c r="H177" s="84">
        <f>157-148.6+4.5-0.16*2</f>
        <v>12.580000000000005</v>
      </c>
      <c r="I177" s="84">
        <f t="shared" si="6"/>
        <v>256.63200000000012</v>
      </c>
      <c r="J177" s="59"/>
      <c r="AK177" s="44">
        <f t="shared" si="7"/>
        <v>3.4</v>
      </c>
    </row>
    <row r="178" spans="2:37">
      <c r="B178" s="107">
        <f t="shared" si="8"/>
        <v>170</v>
      </c>
      <c r="C178" s="41" t="s">
        <v>137</v>
      </c>
      <c r="D178" s="81"/>
      <c r="E178" s="81">
        <f>TRUNC(6.14/0.33+1.9)</f>
        <v>20</v>
      </c>
      <c r="F178" s="67">
        <v>3</v>
      </c>
      <c r="G178" s="122" t="s">
        <v>65</v>
      </c>
      <c r="H178" s="84">
        <v>5.66</v>
      </c>
      <c r="I178" s="84">
        <f t="shared" si="6"/>
        <v>42.563200000000009</v>
      </c>
      <c r="J178" s="59"/>
      <c r="AK178" s="44">
        <f t="shared" si="7"/>
        <v>0.376</v>
      </c>
    </row>
    <row r="179" spans="2:37">
      <c r="B179" s="107">
        <f t="shared" si="8"/>
        <v>171</v>
      </c>
      <c r="C179" s="41" t="s">
        <v>138</v>
      </c>
      <c r="D179" s="81"/>
      <c r="E179" s="81">
        <f>TRUNC(6.14/0.33+1.9)</f>
        <v>20</v>
      </c>
      <c r="F179" s="67">
        <v>3</v>
      </c>
      <c r="G179" s="122" t="s">
        <v>65</v>
      </c>
      <c r="H179" s="84">
        <v>1.42</v>
      </c>
      <c r="I179" s="84">
        <f t="shared" si="6"/>
        <v>10.6784</v>
      </c>
      <c r="J179" s="59"/>
      <c r="AK179" s="44">
        <f t="shared" si="7"/>
        <v>0.376</v>
      </c>
    </row>
    <row r="180" spans="2:37">
      <c r="B180" s="107">
        <f t="shared" si="8"/>
        <v>172</v>
      </c>
      <c r="C180" s="38" t="s">
        <v>159</v>
      </c>
      <c r="D180" s="81"/>
      <c r="E180" s="81"/>
      <c r="F180" s="67"/>
      <c r="G180" s="122"/>
      <c r="H180" s="84"/>
      <c r="I180" s="84">
        <f t="shared" si="6"/>
        <v>0</v>
      </c>
      <c r="J180" s="59"/>
      <c r="AK180" s="44">
        <f t="shared" si="7"/>
        <v>0</v>
      </c>
    </row>
    <row r="181" spans="2:37">
      <c r="B181" s="107">
        <f t="shared" si="8"/>
        <v>173</v>
      </c>
      <c r="C181" s="41" t="s">
        <v>155</v>
      </c>
      <c r="D181" s="81"/>
      <c r="E181" s="81">
        <v>6</v>
      </c>
      <c r="F181" s="67">
        <v>9</v>
      </c>
      <c r="G181" s="122" t="s">
        <v>65</v>
      </c>
      <c r="H181" s="84">
        <f>168.75-157-0.16-0.16+2</f>
        <v>13.43</v>
      </c>
      <c r="I181" s="84">
        <f t="shared" si="6"/>
        <v>273.97199999999998</v>
      </c>
      <c r="J181" s="59"/>
      <c r="AK181" s="44">
        <f t="shared" si="7"/>
        <v>3.4</v>
      </c>
    </row>
    <row r="182" spans="2:37">
      <c r="B182" s="107">
        <f t="shared" si="8"/>
        <v>174</v>
      </c>
      <c r="C182" s="41" t="s">
        <v>137</v>
      </c>
      <c r="D182" s="81"/>
      <c r="E182" s="81">
        <f>TRUNC(9.3/0.33+1.9)</f>
        <v>30</v>
      </c>
      <c r="F182" s="67">
        <v>3</v>
      </c>
      <c r="G182" s="122" t="s">
        <v>65</v>
      </c>
      <c r="H182" s="84">
        <v>5.66</v>
      </c>
      <c r="I182" s="84">
        <f t="shared" si="6"/>
        <v>63.844800000000006</v>
      </c>
      <c r="J182" s="59"/>
      <c r="AK182" s="44">
        <f t="shared" si="7"/>
        <v>0.376</v>
      </c>
    </row>
    <row r="183" spans="2:37">
      <c r="B183" s="107">
        <f t="shared" si="8"/>
        <v>175</v>
      </c>
      <c r="C183" s="41" t="s">
        <v>138</v>
      </c>
      <c r="D183" s="81"/>
      <c r="E183" s="81">
        <f>TRUNC(9.3/0.33+1.9)</f>
        <v>30</v>
      </c>
      <c r="F183" s="67">
        <v>3</v>
      </c>
      <c r="G183" s="122" t="s">
        <v>65</v>
      </c>
      <c r="H183" s="84">
        <v>1.42</v>
      </c>
      <c r="I183" s="84">
        <f t="shared" si="6"/>
        <v>16.017599999999998</v>
      </c>
      <c r="J183" s="59"/>
      <c r="AK183" s="44">
        <f t="shared" si="7"/>
        <v>0.376</v>
      </c>
    </row>
    <row r="184" spans="2:37">
      <c r="B184" s="107">
        <f t="shared" si="8"/>
        <v>176</v>
      </c>
      <c r="C184" s="38" t="s">
        <v>167</v>
      </c>
      <c r="D184" s="81"/>
      <c r="E184" s="81"/>
      <c r="F184" s="67"/>
      <c r="G184" s="122"/>
      <c r="H184" s="84"/>
      <c r="I184" s="84">
        <f t="shared" si="6"/>
        <v>0</v>
      </c>
      <c r="J184" s="59"/>
      <c r="AK184" s="44">
        <f t="shared" si="7"/>
        <v>0</v>
      </c>
    </row>
    <row r="185" spans="2:37">
      <c r="B185" s="107">
        <f t="shared" si="8"/>
        <v>177</v>
      </c>
      <c r="C185" s="38" t="s">
        <v>135</v>
      </c>
      <c r="D185" s="81"/>
      <c r="E185" s="81"/>
      <c r="F185" s="67"/>
      <c r="G185" s="122"/>
      <c r="H185" s="84"/>
      <c r="I185" s="84">
        <f t="shared" si="6"/>
        <v>0</v>
      </c>
      <c r="J185" s="59"/>
      <c r="AK185" s="44">
        <f t="shared" si="7"/>
        <v>0</v>
      </c>
    </row>
    <row r="186" spans="2:37">
      <c r="B186" s="107">
        <f t="shared" si="8"/>
        <v>178</v>
      </c>
      <c r="C186" s="41" t="s">
        <v>154</v>
      </c>
      <c r="D186" s="81"/>
      <c r="E186" s="81">
        <v>6</v>
      </c>
      <c r="F186" s="67">
        <v>9</v>
      </c>
      <c r="G186" s="122" t="s">
        <v>57</v>
      </c>
      <c r="H186" s="84">
        <f>144.4-134.5+4.5-0.25-0.16+1</f>
        <v>14.990000000000006</v>
      </c>
      <c r="I186" s="84">
        <f t="shared" si="6"/>
        <v>305.79600000000011</v>
      </c>
      <c r="J186" s="59"/>
      <c r="AK186" s="44">
        <f t="shared" si="7"/>
        <v>3.4</v>
      </c>
    </row>
    <row r="187" spans="2:37">
      <c r="B187" s="107">
        <f t="shared" si="8"/>
        <v>179</v>
      </c>
      <c r="C187" s="41" t="s">
        <v>137</v>
      </c>
      <c r="D187" s="81"/>
      <c r="E187" s="81">
        <f>TRUNC(10.64/0.33+1.9)</f>
        <v>34</v>
      </c>
      <c r="F187" s="67">
        <v>3</v>
      </c>
      <c r="G187" s="122" t="s">
        <v>65</v>
      </c>
      <c r="H187" s="84">
        <v>5.66</v>
      </c>
      <c r="I187" s="84">
        <f t="shared" si="6"/>
        <v>72.357440000000011</v>
      </c>
      <c r="J187" s="59"/>
      <c r="AK187" s="44">
        <f t="shared" si="7"/>
        <v>0.376</v>
      </c>
    </row>
    <row r="188" spans="2:37">
      <c r="B188" s="107">
        <f t="shared" si="8"/>
        <v>180</v>
      </c>
      <c r="C188" s="41" t="s">
        <v>138</v>
      </c>
      <c r="D188" s="81"/>
      <c r="E188" s="81">
        <f>TRUNC(10.64/0.33+1.9)</f>
        <v>34</v>
      </c>
      <c r="F188" s="67">
        <v>3</v>
      </c>
      <c r="G188" s="122" t="s">
        <v>65</v>
      </c>
      <c r="H188" s="84">
        <v>1.42</v>
      </c>
      <c r="I188" s="84">
        <f t="shared" si="6"/>
        <v>18.153279999999999</v>
      </c>
      <c r="J188" s="59"/>
      <c r="AK188" s="44">
        <f t="shared" si="7"/>
        <v>0.376</v>
      </c>
    </row>
    <row r="189" spans="2:37">
      <c r="B189" s="107">
        <f t="shared" si="8"/>
        <v>181</v>
      </c>
      <c r="C189" s="38" t="s">
        <v>168</v>
      </c>
      <c r="D189" s="81"/>
      <c r="E189" s="81"/>
      <c r="F189" s="67"/>
      <c r="G189" s="122"/>
      <c r="H189" s="84"/>
      <c r="I189" s="84">
        <f t="shared" si="6"/>
        <v>0</v>
      </c>
      <c r="J189" s="59"/>
      <c r="K189" s="45"/>
      <c r="L189" s="45"/>
      <c r="AK189" s="44">
        <f t="shared" si="7"/>
        <v>0</v>
      </c>
    </row>
    <row r="190" spans="2:37">
      <c r="B190" s="107">
        <f t="shared" si="8"/>
        <v>182</v>
      </c>
      <c r="C190" s="41" t="s">
        <v>154</v>
      </c>
      <c r="D190" s="81"/>
      <c r="E190" s="81">
        <v>6</v>
      </c>
      <c r="F190" s="67">
        <v>9</v>
      </c>
      <c r="G190" s="122" t="s">
        <v>57</v>
      </c>
      <c r="H190" s="84">
        <f>156.9-144.4+4.5-0.16*2</f>
        <v>16.68</v>
      </c>
      <c r="I190" s="84">
        <f t="shared" si="6"/>
        <v>340.27199999999999</v>
      </c>
      <c r="J190" s="59"/>
      <c r="AK190" s="44">
        <f t="shared" si="7"/>
        <v>3.4</v>
      </c>
    </row>
    <row r="191" spans="2:37">
      <c r="B191" s="107">
        <f t="shared" si="8"/>
        <v>183</v>
      </c>
      <c r="C191" s="41" t="s">
        <v>137</v>
      </c>
      <c r="D191" s="81"/>
      <c r="E191" s="81">
        <f>TRUNC(10.24/0.33+1.9)</f>
        <v>32</v>
      </c>
      <c r="F191" s="67">
        <v>3</v>
      </c>
      <c r="G191" s="122" t="s">
        <v>65</v>
      </c>
      <c r="H191" s="84">
        <v>5.66</v>
      </c>
      <c r="I191" s="84">
        <f t="shared" si="6"/>
        <v>68.101120000000009</v>
      </c>
      <c r="J191" s="59"/>
      <c r="AK191" s="44">
        <f t="shared" si="7"/>
        <v>0.376</v>
      </c>
    </row>
    <row r="192" spans="2:37">
      <c r="B192" s="107">
        <f t="shared" si="8"/>
        <v>184</v>
      </c>
      <c r="C192" s="41" t="s">
        <v>138</v>
      </c>
      <c r="D192" s="81"/>
      <c r="E192" s="81">
        <f>TRUNC(10.24/0.33+1.9)</f>
        <v>32</v>
      </c>
      <c r="F192" s="67">
        <v>3</v>
      </c>
      <c r="G192" s="122" t="s">
        <v>65</v>
      </c>
      <c r="H192" s="84">
        <v>1.42</v>
      </c>
      <c r="I192" s="84">
        <f t="shared" si="6"/>
        <v>17.085439999999998</v>
      </c>
      <c r="J192" s="59"/>
      <c r="AK192" s="44">
        <f t="shared" si="7"/>
        <v>0.376</v>
      </c>
    </row>
    <row r="193" spans="2:37">
      <c r="B193" s="107">
        <f t="shared" si="8"/>
        <v>185</v>
      </c>
      <c r="C193" s="38" t="s">
        <v>152</v>
      </c>
      <c r="D193" s="81"/>
      <c r="E193" s="81"/>
      <c r="F193" s="67"/>
      <c r="G193" s="122"/>
      <c r="H193" s="84"/>
      <c r="I193" s="84">
        <f t="shared" si="6"/>
        <v>0</v>
      </c>
      <c r="J193" s="59"/>
      <c r="AK193" s="44">
        <f t="shared" si="7"/>
        <v>0</v>
      </c>
    </row>
    <row r="194" spans="2:37">
      <c r="B194" s="107">
        <f t="shared" si="8"/>
        <v>186</v>
      </c>
      <c r="C194" s="41" t="s">
        <v>155</v>
      </c>
      <c r="D194" s="81"/>
      <c r="E194" s="81">
        <v>6</v>
      </c>
      <c r="F194" s="67">
        <v>9</v>
      </c>
      <c r="G194" s="122" t="s">
        <v>65</v>
      </c>
      <c r="H194" s="84">
        <f>168.75-156.9-0.16-0.16+2</f>
        <v>13.529999999999994</v>
      </c>
      <c r="I194" s="84">
        <f t="shared" si="6"/>
        <v>276.01199999999989</v>
      </c>
      <c r="J194" s="59"/>
      <c r="AK194" s="44">
        <f t="shared" si="7"/>
        <v>3.4</v>
      </c>
    </row>
    <row r="195" spans="2:37">
      <c r="B195" s="107">
        <f t="shared" si="8"/>
        <v>187</v>
      </c>
      <c r="C195" s="41" t="s">
        <v>137</v>
      </c>
      <c r="D195" s="81"/>
      <c r="E195" s="81">
        <f>TRUNC(9.43/0.33+1.9)</f>
        <v>30</v>
      </c>
      <c r="F195" s="67">
        <v>3</v>
      </c>
      <c r="G195" s="122" t="s">
        <v>65</v>
      </c>
      <c r="H195" s="84">
        <v>5.66</v>
      </c>
      <c r="I195" s="84">
        <f t="shared" si="6"/>
        <v>63.844800000000006</v>
      </c>
      <c r="J195" s="59"/>
      <c r="AK195" s="44">
        <f t="shared" si="7"/>
        <v>0.376</v>
      </c>
    </row>
    <row r="196" spans="2:37">
      <c r="B196" s="107">
        <f t="shared" si="8"/>
        <v>188</v>
      </c>
      <c r="C196" s="41" t="s">
        <v>138</v>
      </c>
      <c r="D196" s="81"/>
      <c r="E196" s="81">
        <f>TRUNC(9.43/0.33+1.9)</f>
        <v>30</v>
      </c>
      <c r="F196" s="67">
        <v>3</v>
      </c>
      <c r="G196" s="122" t="s">
        <v>65</v>
      </c>
      <c r="H196" s="84">
        <v>1.42</v>
      </c>
      <c r="I196" s="84">
        <f t="shared" si="6"/>
        <v>16.017599999999998</v>
      </c>
      <c r="J196" s="59"/>
      <c r="AK196" s="44">
        <f t="shared" si="7"/>
        <v>0.376</v>
      </c>
    </row>
    <row r="197" spans="2:37">
      <c r="B197" s="107">
        <f t="shared" si="8"/>
        <v>189</v>
      </c>
      <c r="C197" s="38" t="s">
        <v>167</v>
      </c>
      <c r="D197" s="81"/>
      <c r="E197" s="81"/>
      <c r="F197" s="67"/>
      <c r="G197" s="122"/>
      <c r="H197" s="84"/>
      <c r="I197" s="84">
        <f t="shared" si="6"/>
        <v>0</v>
      </c>
      <c r="J197" s="59"/>
      <c r="AK197" s="44">
        <f t="shared" si="7"/>
        <v>0</v>
      </c>
    </row>
    <row r="198" spans="2:37">
      <c r="B198" s="107">
        <f t="shared" si="8"/>
        <v>190</v>
      </c>
      <c r="C198" s="38" t="s">
        <v>169</v>
      </c>
      <c r="D198" s="81"/>
      <c r="E198" s="81"/>
      <c r="F198" s="67"/>
      <c r="G198" s="122"/>
      <c r="H198" s="84"/>
      <c r="I198" s="84">
        <f t="shared" si="6"/>
        <v>0</v>
      </c>
      <c r="J198" s="59"/>
      <c r="AK198" s="44">
        <f t="shared" si="7"/>
        <v>0</v>
      </c>
    </row>
    <row r="199" spans="2:37">
      <c r="B199" s="107">
        <f t="shared" si="8"/>
        <v>191</v>
      </c>
      <c r="C199" s="41" t="s">
        <v>154</v>
      </c>
      <c r="D199" s="81"/>
      <c r="E199" s="81">
        <v>6</v>
      </c>
      <c r="F199" s="67">
        <v>9</v>
      </c>
      <c r="G199" s="122" t="s">
        <v>57</v>
      </c>
      <c r="H199" s="84">
        <f>143.4-134.7+4.5-0.25-0.16+1</f>
        <v>13.790000000000017</v>
      </c>
      <c r="I199" s="84">
        <f t="shared" si="6"/>
        <v>281.31600000000037</v>
      </c>
      <c r="J199" s="59"/>
      <c r="AK199" s="44">
        <f t="shared" si="7"/>
        <v>3.4</v>
      </c>
    </row>
    <row r="200" spans="2:37">
      <c r="B200" s="107">
        <f t="shared" si="8"/>
        <v>192</v>
      </c>
      <c r="C200" s="41" t="s">
        <v>137</v>
      </c>
      <c r="D200" s="81"/>
      <c r="E200" s="81">
        <f>TRUNC(7.54/0.33+1.9)</f>
        <v>24</v>
      </c>
      <c r="F200" s="67">
        <v>3</v>
      </c>
      <c r="G200" s="122" t="s">
        <v>65</v>
      </c>
      <c r="H200" s="84">
        <v>5.66</v>
      </c>
      <c r="I200" s="84">
        <f t="shared" si="6"/>
        <v>51.075840000000007</v>
      </c>
      <c r="J200" s="59"/>
      <c r="AK200" s="44">
        <f t="shared" si="7"/>
        <v>0.376</v>
      </c>
    </row>
    <row r="201" spans="2:37">
      <c r="B201" s="107">
        <f t="shared" si="8"/>
        <v>193</v>
      </c>
      <c r="C201" s="41" t="s">
        <v>138</v>
      </c>
      <c r="D201" s="81"/>
      <c r="E201" s="81">
        <f>TRUNC(7.54/0.33+1.9)</f>
        <v>24</v>
      </c>
      <c r="F201" s="67">
        <v>3</v>
      </c>
      <c r="G201" s="122" t="s">
        <v>65</v>
      </c>
      <c r="H201" s="84">
        <v>1.42</v>
      </c>
      <c r="I201" s="84">
        <f t="shared" ref="I201:I264" si="9">IF(D201="",AK201*H201*E201,AK201*H201*E201*D201)</f>
        <v>12.814079999999999</v>
      </c>
      <c r="J201" s="59"/>
      <c r="AK201" s="44">
        <f t="shared" ref="AK201:AK264" si="10">IF(F201="",0,VLOOKUP(F201,$CI$16:$CJ$38,2,FALSE))</f>
        <v>0.376</v>
      </c>
    </row>
    <row r="202" spans="2:37">
      <c r="B202" s="107">
        <f t="shared" ref="B202:B265" si="11">IF(B201="SL.NO",1,B201+1)</f>
        <v>194</v>
      </c>
      <c r="C202" s="38" t="s">
        <v>170</v>
      </c>
      <c r="D202" s="81"/>
      <c r="E202" s="81"/>
      <c r="F202" s="67"/>
      <c r="G202" s="122"/>
      <c r="H202" s="84"/>
      <c r="I202" s="84">
        <f t="shared" si="9"/>
        <v>0</v>
      </c>
      <c r="J202" s="59"/>
      <c r="AK202" s="44">
        <f t="shared" si="10"/>
        <v>0</v>
      </c>
    </row>
    <row r="203" spans="2:37">
      <c r="B203" s="107">
        <f t="shared" si="11"/>
        <v>195</v>
      </c>
      <c r="C203" s="41" t="s">
        <v>154</v>
      </c>
      <c r="D203" s="81"/>
      <c r="E203" s="81">
        <v>6</v>
      </c>
      <c r="F203" s="67">
        <v>9</v>
      </c>
      <c r="G203" s="122" t="s">
        <v>57</v>
      </c>
      <c r="H203" s="84">
        <f>157.2-143.4+4.5-0.16*2</f>
        <v>17.979999999999983</v>
      </c>
      <c r="I203" s="84">
        <f t="shared" si="9"/>
        <v>366.79199999999963</v>
      </c>
      <c r="J203" s="59"/>
      <c r="AK203" s="44">
        <f t="shared" si="10"/>
        <v>3.4</v>
      </c>
    </row>
    <row r="204" spans="2:37">
      <c r="B204" s="107">
        <f t="shared" si="11"/>
        <v>196</v>
      </c>
      <c r="C204" s="41" t="s">
        <v>137</v>
      </c>
      <c r="D204" s="81"/>
      <c r="E204" s="81">
        <f>TRUNC(11.54/0.33+1.9)</f>
        <v>36</v>
      </c>
      <c r="F204" s="67">
        <v>3</v>
      </c>
      <c r="G204" s="122" t="s">
        <v>65</v>
      </c>
      <c r="H204" s="84">
        <v>5.66</v>
      </c>
      <c r="I204" s="84">
        <f t="shared" si="9"/>
        <v>76.613760000000013</v>
      </c>
      <c r="J204" s="59"/>
      <c r="AK204" s="44">
        <f t="shared" si="10"/>
        <v>0.376</v>
      </c>
    </row>
    <row r="205" spans="2:37">
      <c r="B205" s="107">
        <f t="shared" si="11"/>
        <v>197</v>
      </c>
      <c r="C205" s="41" t="s">
        <v>138</v>
      </c>
      <c r="D205" s="81"/>
      <c r="E205" s="81">
        <f>TRUNC(11.54/0.33+1.9)</f>
        <v>36</v>
      </c>
      <c r="F205" s="67">
        <v>3</v>
      </c>
      <c r="G205" s="122" t="s">
        <v>65</v>
      </c>
      <c r="H205" s="84">
        <v>1.42</v>
      </c>
      <c r="I205" s="84">
        <f t="shared" si="9"/>
        <v>19.221119999999999</v>
      </c>
      <c r="J205" s="59"/>
      <c r="AK205" s="44">
        <f t="shared" si="10"/>
        <v>0.376</v>
      </c>
    </row>
    <row r="206" spans="2:37">
      <c r="B206" s="107">
        <f t="shared" si="11"/>
        <v>198</v>
      </c>
      <c r="C206" s="38" t="s">
        <v>171</v>
      </c>
      <c r="D206" s="81"/>
      <c r="E206" s="81"/>
      <c r="F206" s="67"/>
      <c r="G206" s="122"/>
      <c r="H206" s="84"/>
      <c r="I206" s="84">
        <f t="shared" si="9"/>
        <v>0</v>
      </c>
      <c r="J206" s="59"/>
      <c r="AK206" s="44">
        <f t="shared" si="10"/>
        <v>0</v>
      </c>
    </row>
    <row r="207" spans="2:37">
      <c r="B207" s="107">
        <f t="shared" si="11"/>
        <v>199</v>
      </c>
      <c r="C207" s="41" t="s">
        <v>155</v>
      </c>
      <c r="D207" s="81"/>
      <c r="E207" s="81">
        <v>6</v>
      </c>
      <c r="F207" s="67">
        <v>9</v>
      </c>
      <c r="G207" s="122" t="s">
        <v>65</v>
      </c>
      <c r="H207" s="84">
        <f>168.75-157.2-0.16-0.16+2</f>
        <v>13.230000000000011</v>
      </c>
      <c r="I207" s="84">
        <f t="shared" si="9"/>
        <v>269.89200000000022</v>
      </c>
      <c r="J207" s="59"/>
      <c r="AK207" s="44">
        <f t="shared" si="10"/>
        <v>3.4</v>
      </c>
    </row>
    <row r="208" spans="2:37">
      <c r="B208" s="107">
        <f t="shared" si="11"/>
        <v>200</v>
      </c>
      <c r="C208" s="41" t="s">
        <v>137</v>
      </c>
      <c r="D208" s="81"/>
      <c r="E208" s="81">
        <f>TRUNC(9.13/0.33+1.9)</f>
        <v>29</v>
      </c>
      <c r="F208" s="67">
        <v>3</v>
      </c>
      <c r="G208" s="122" t="s">
        <v>65</v>
      </c>
      <c r="H208" s="84">
        <v>5.66</v>
      </c>
      <c r="I208" s="84">
        <f t="shared" si="9"/>
        <v>61.716640000000005</v>
      </c>
      <c r="J208" s="59"/>
      <c r="AK208" s="44">
        <f t="shared" si="10"/>
        <v>0.376</v>
      </c>
    </row>
    <row r="209" spans="2:37">
      <c r="B209" s="107">
        <f t="shared" si="11"/>
        <v>201</v>
      </c>
      <c r="C209" s="41" t="s">
        <v>138</v>
      </c>
      <c r="D209" s="81"/>
      <c r="E209" s="81">
        <f>TRUNC(9.13/0.33+1.9)</f>
        <v>29</v>
      </c>
      <c r="F209" s="67">
        <v>3</v>
      </c>
      <c r="G209" s="122" t="s">
        <v>65</v>
      </c>
      <c r="H209" s="84">
        <v>1.42</v>
      </c>
      <c r="I209" s="84">
        <f t="shared" si="9"/>
        <v>15.483679999999998</v>
      </c>
      <c r="J209" s="59"/>
      <c r="AK209" s="44">
        <f t="shared" si="10"/>
        <v>0.376</v>
      </c>
    </row>
    <row r="210" spans="2:37">
      <c r="B210" s="107">
        <f t="shared" si="11"/>
        <v>202</v>
      </c>
      <c r="C210" s="38" t="s">
        <v>167</v>
      </c>
      <c r="D210" s="81"/>
      <c r="E210" s="81"/>
      <c r="F210" s="67"/>
      <c r="G210" s="122"/>
      <c r="H210" s="84"/>
      <c r="I210" s="84">
        <f t="shared" si="9"/>
        <v>0</v>
      </c>
      <c r="J210" s="59"/>
      <c r="AK210" s="44">
        <f t="shared" si="10"/>
        <v>0</v>
      </c>
    </row>
    <row r="211" spans="2:37">
      <c r="B211" s="107">
        <f t="shared" si="11"/>
        <v>203</v>
      </c>
      <c r="C211" s="38" t="s">
        <v>172</v>
      </c>
      <c r="D211" s="81"/>
      <c r="E211" s="81"/>
      <c r="F211" s="67"/>
      <c r="G211" s="122"/>
      <c r="H211" s="84"/>
      <c r="I211" s="84">
        <f t="shared" si="9"/>
        <v>0</v>
      </c>
      <c r="J211" s="56"/>
      <c r="AK211" s="44">
        <f t="shared" si="10"/>
        <v>0</v>
      </c>
    </row>
    <row r="212" spans="2:37">
      <c r="B212" s="107">
        <f t="shared" si="11"/>
        <v>204</v>
      </c>
      <c r="C212" s="41" t="s">
        <v>154</v>
      </c>
      <c r="D212" s="81"/>
      <c r="E212" s="81">
        <v>6</v>
      </c>
      <c r="F212" s="67">
        <v>9</v>
      </c>
      <c r="G212" s="122" t="s">
        <v>57</v>
      </c>
      <c r="H212" s="84">
        <f>146.8-136.9+4.5-0.25-0.16+1</f>
        <v>14.990000000000006</v>
      </c>
      <c r="I212" s="84">
        <f t="shared" si="9"/>
        <v>305.79600000000011</v>
      </c>
      <c r="J212" s="59"/>
      <c r="AK212" s="44">
        <f t="shared" si="10"/>
        <v>3.4</v>
      </c>
    </row>
    <row r="213" spans="2:37">
      <c r="B213" s="107">
        <f t="shared" si="11"/>
        <v>205</v>
      </c>
      <c r="C213" s="41" t="s">
        <v>137</v>
      </c>
      <c r="D213" s="81"/>
      <c r="E213" s="81">
        <f>TRUNC(8.74/0.33+1.9)</f>
        <v>28</v>
      </c>
      <c r="F213" s="67">
        <v>3</v>
      </c>
      <c r="G213" s="122" t="s">
        <v>65</v>
      </c>
      <c r="H213" s="84">
        <v>5.66</v>
      </c>
      <c r="I213" s="84">
        <f t="shared" si="9"/>
        <v>59.588480000000004</v>
      </c>
      <c r="J213" s="59"/>
      <c r="AK213" s="44">
        <f t="shared" si="10"/>
        <v>0.376</v>
      </c>
    </row>
    <row r="214" spans="2:37">
      <c r="B214" s="107">
        <f t="shared" si="11"/>
        <v>206</v>
      </c>
      <c r="C214" s="41" t="s">
        <v>138</v>
      </c>
      <c r="D214" s="81"/>
      <c r="E214" s="81">
        <f>TRUNC(8.74/0.33+1.9)</f>
        <v>28</v>
      </c>
      <c r="F214" s="67">
        <v>3</v>
      </c>
      <c r="G214" s="122" t="s">
        <v>65</v>
      </c>
      <c r="H214" s="84">
        <v>1.42</v>
      </c>
      <c r="I214" s="84">
        <f t="shared" si="9"/>
        <v>14.949759999999998</v>
      </c>
      <c r="J214" s="59"/>
      <c r="AK214" s="44">
        <f t="shared" si="10"/>
        <v>0.376</v>
      </c>
    </row>
    <row r="215" spans="2:37">
      <c r="B215" s="107">
        <f t="shared" si="11"/>
        <v>207</v>
      </c>
      <c r="C215" s="38" t="s">
        <v>173</v>
      </c>
      <c r="D215" s="81"/>
      <c r="E215" s="81"/>
      <c r="F215" s="67"/>
      <c r="G215" s="122"/>
      <c r="H215" s="84"/>
      <c r="I215" s="84">
        <f t="shared" si="9"/>
        <v>0</v>
      </c>
      <c r="J215" s="59"/>
      <c r="AK215" s="44">
        <f t="shared" si="10"/>
        <v>0</v>
      </c>
    </row>
    <row r="216" spans="2:37">
      <c r="B216" s="107">
        <f t="shared" si="11"/>
        <v>208</v>
      </c>
      <c r="C216" s="41" t="s">
        <v>154</v>
      </c>
      <c r="D216" s="81"/>
      <c r="E216" s="81">
        <v>6</v>
      </c>
      <c r="F216" s="67">
        <v>9</v>
      </c>
      <c r="G216" s="122" t="s">
        <v>57</v>
      </c>
      <c r="H216" s="84">
        <f>156.95-146.8+4.5-0.16*2</f>
        <v>14.329999999999977</v>
      </c>
      <c r="I216" s="84">
        <f t="shared" si="9"/>
        <v>292.33199999999954</v>
      </c>
      <c r="J216" s="59"/>
      <c r="AK216" s="44">
        <f t="shared" si="10"/>
        <v>3.4</v>
      </c>
    </row>
    <row r="217" spans="2:37">
      <c r="B217" s="107">
        <f t="shared" si="11"/>
        <v>209</v>
      </c>
      <c r="C217" s="41" t="s">
        <v>137</v>
      </c>
      <c r="D217" s="81"/>
      <c r="E217" s="81">
        <f>TRUNC(7.89/0.33+1.9)</f>
        <v>25</v>
      </c>
      <c r="F217" s="67">
        <v>3</v>
      </c>
      <c r="G217" s="122" t="s">
        <v>65</v>
      </c>
      <c r="H217" s="84">
        <v>5.66</v>
      </c>
      <c r="I217" s="84">
        <f t="shared" si="9"/>
        <v>53.204000000000008</v>
      </c>
      <c r="J217" s="59"/>
      <c r="AK217" s="44">
        <f t="shared" si="10"/>
        <v>0.376</v>
      </c>
    </row>
    <row r="218" spans="2:37">
      <c r="B218" s="107">
        <f t="shared" si="11"/>
        <v>210</v>
      </c>
      <c r="C218" s="41" t="s">
        <v>138</v>
      </c>
      <c r="D218" s="81"/>
      <c r="E218" s="81">
        <f>TRUNC(7.89/0.33+1.9)</f>
        <v>25</v>
      </c>
      <c r="F218" s="67">
        <v>3</v>
      </c>
      <c r="G218" s="122" t="s">
        <v>65</v>
      </c>
      <c r="H218" s="84">
        <v>1.42</v>
      </c>
      <c r="I218" s="84">
        <f t="shared" si="9"/>
        <v>13.347999999999999</v>
      </c>
      <c r="J218" s="59"/>
      <c r="AK218" s="44">
        <f t="shared" si="10"/>
        <v>0.376</v>
      </c>
    </row>
    <row r="219" spans="2:37">
      <c r="B219" s="107">
        <f t="shared" si="11"/>
        <v>211</v>
      </c>
      <c r="C219" s="38" t="s">
        <v>162</v>
      </c>
      <c r="D219" s="81"/>
      <c r="E219" s="81"/>
      <c r="F219" s="67"/>
      <c r="G219" s="122"/>
      <c r="H219" s="84"/>
      <c r="I219" s="84">
        <f t="shared" si="9"/>
        <v>0</v>
      </c>
      <c r="J219" s="59"/>
      <c r="AK219" s="44">
        <f t="shared" si="10"/>
        <v>0</v>
      </c>
    </row>
    <row r="220" spans="2:37">
      <c r="B220" s="107">
        <f t="shared" si="11"/>
        <v>212</v>
      </c>
      <c r="C220" s="41" t="s">
        <v>155</v>
      </c>
      <c r="D220" s="81"/>
      <c r="E220" s="81">
        <v>6</v>
      </c>
      <c r="F220" s="67">
        <v>9</v>
      </c>
      <c r="G220" s="122" t="s">
        <v>65</v>
      </c>
      <c r="H220" s="84">
        <f>168.75-156.95-0.16-0.16+2</f>
        <v>13.480000000000011</v>
      </c>
      <c r="I220" s="84">
        <f t="shared" si="9"/>
        <v>274.99200000000019</v>
      </c>
      <c r="J220" s="59"/>
      <c r="AK220" s="44">
        <f t="shared" si="10"/>
        <v>3.4</v>
      </c>
    </row>
    <row r="221" spans="2:37">
      <c r="B221" s="107">
        <f t="shared" si="11"/>
        <v>213</v>
      </c>
      <c r="C221" s="41" t="s">
        <v>137</v>
      </c>
      <c r="D221" s="81"/>
      <c r="E221" s="81">
        <f>TRUNC(9.38/0.33+1.9)</f>
        <v>30</v>
      </c>
      <c r="F221" s="67">
        <v>3</v>
      </c>
      <c r="G221" s="122" t="s">
        <v>65</v>
      </c>
      <c r="H221" s="84">
        <v>5.66</v>
      </c>
      <c r="I221" s="84">
        <f t="shared" si="9"/>
        <v>63.844800000000006</v>
      </c>
      <c r="J221" s="109"/>
      <c r="AK221" s="44">
        <f t="shared" si="10"/>
        <v>0.376</v>
      </c>
    </row>
    <row r="222" spans="2:37">
      <c r="B222" s="107">
        <f t="shared" si="11"/>
        <v>214</v>
      </c>
      <c r="C222" s="41" t="s">
        <v>138</v>
      </c>
      <c r="D222" s="81"/>
      <c r="E222" s="81">
        <f>TRUNC(9.38/0.33+1.9)</f>
        <v>30</v>
      </c>
      <c r="F222" s="67">
        <v>3</v>
      </c>
      <c r="G222" s="122" t="s">
        <v>65</v>
      </c>
      <c r="H222" s="84">
        <v>1.42</v>
      </c>
      <c r="I222" s="84">
        <f t="shared" si="9"/>
        <v>16.017599999999998</v>
      </c>
      <c r="J222" s="59"/>
      <c r="AK222" s="44">
        <f t="shared" si="10"/>
        <v>0.376</v>
      </c>
    </row>
    <row r="223" spans="2:37">
      <c r="B223" s="107">
        <f t="shared" si="11"/>
        <v>215</v>
      </c>
      <c r="C223" s="38" t="s">
        <v>167</v>
      </c>
      <c r="D223" s="81"/>
      <c r="E223" s="81"/>
      <c r="F223" s="67"/>
      <c r="G223" s="122"/>
      <c r="H223" s="84"/>
      <c r="I223" s="84">
        <f t="shared" si="9"/>
        <v>0</v>
      </c>
      <c r="J223" s="59"/>
      <c r="AK223" s="44">
        <f t="shared" si="10"/>
        <v>0</v>
      </c>
    </row>
    <row r="224" spans="2:37">
      <c r="B224" s="107">
        <f t="shared" si="11"/>
        <v>216</v>
      </c>
      <c r="C224" s="38" t="s">
        <v>174</v>
      </c>
      <c r="D224" s="81"/>
      <c r="E224" s="81"/>
      <c r="F224" s="67"/>
      <c r="G224" s="122"/>
      <c r="H224" s="84"/>
      <c r="I224" s="84">
        <f t="shared" si="9"/>
        <v>0</v>
      </c>
      <c r="J224" s="59"/>
      <c r="AK224" s="44">
        <f t="shared" si="10"/>
        <v>0</v>
      </c>
    </row>
    <row r="225" spans="2:37">
      <c r="B225" s="107">
        <f t="shared" si="11"/>
        <v>217</v>
      </c>
      <c r="C225" s="41" t="s">
        <v>154</v>
      </c>
      <c r="D225" s="81">
        <v>2</v>
      </c>
      <c r="E225" s="81">
        <v>6</v>
      </c>
      <c r="F225" s="67">
        <v>9</v>
      </c>
      <c r="G225" s="122" t="s">
        <v>57</v>
      </c>
      <c r="H225" s="84">
        <f>142.4-132.6+4.5-0.25-0.16+1</f>
        <v>14.890000000000011</v>
      </c>
      <c r="I225" s="84">
        <f t="shared" si="9"/>
        <v>607.51200000000051</v>
      </c>
      <c r="J225" s="59"/>
      <c r="AK225" s="44">
        <f t="shared" si="10"/>
        <v>3.4</v>
      </c>
    </row>
    <row r="226" spans="2:37">
      <c r="B226" s="107">
        <f t="shared" si="11"/>
        <v>218</v>
      </c>
      <c r="C226" s="41" t="s">
        <v>137</v>
      </c>
      <c r="D226" s="81">
        <v>2</v>
      </c>
      <c r="E226" s="81">
        <f>TRUNC(8.64/0.33+1.9)</f>
        <v>28</v>
      </c>
      <c r="F226" s="67">
        <v>3</v>
      </c>
      <c r="G226" s="122" t="s">
        <v>65</v>
      </c>
      <c r="H226" s="84">
        <v>5.66</v>
      </c>
      <c r="I226" s="84">
        <f t="shared" si="9"/>
        <v>119.17696000000001</v>
      </c>
      <c r="J226" s="59"/>
      <c r="AK226" s="44">
        <f t="shared" si="10"/>
        <v>0.376</v>
      </c>
    </row>
    <row r="227" spans="2:37">
      <c r="B227" s="107">
        <f t="shared" si="11"/>
        <v>219</v>
      </c>
      <c r="C227" s="41" t="s">
        <v>138</v>
      </c>
      <c r="D227" s="81">
        <v>2</v>
      </c>
      <c r="E227" s="81">
        <f>TRUNC(8.64/0.33+1.9)</f>
        <v>28</v>
      </c>
      <c r="F227" s="67">
        <v>3</v>
      </c>
      <c r="G227" s="122" t="s">
        <v>65</v>
      </c>
      <c r="H227" s="84">
        <v>1.42</v>
      </c>
      <c r="I227" s="84">
        <f t="shared" si="9"/>
        <v>29.899519999999995</v>
      </c>
      <c r="J227" s="59"/>
      <c r="AK227" s="44">
        <f t="shared" si="10"/>
        <v>0.376</v>
      </c>
    </row>
    <row r="228" spans="2:37">
      <c r="B228" s="107">
        <f t="shared" si="11"/>
        <v>220</v>
      </c>
      <c r="C228" s="38" t="s">
        <v>175</v>
      </c>
      <c r="D228" s="81"/>
      <c r="E228" s="81"/>
      <c r="F228" s="67"/>
      <c r="G228" s="122"/>
      <c r="H228" s="84"/>
      <c r="I228" s="84">
        <f t="shared" si="9"/>
        <v>0</v>
      </c>
      <c r="J228" s="59"/>
      <c r="AK228" s="44">
        <f t="shared" si="10"/>
        <v>0</v>
      </c>
    </row>
    <row r="229" spans="2:37">
      <c r="B229" s="107">
        <f t="shared" si="11"/>
        <v>221</v>
      </c>
      <c r="C229" s="41" t="s">
        <v>154</v>
      </c>
      <c r="D229" s="81">
        <v>2</v>
      </c>
      <c r="E229" s="81">
        <v>6</v>
      </c>
      <c r="F229" s="67">
        <v>9</v>
      </c>
      <c r="G229" s="122" t="s">
        <v>57</v>
      </c>
      <c r="H229" s="84">
        <f>157.25-142.4+4.5-0.16*2</f>
        <v>19.029999999999994</v>
      </c>
      <c r="I229" s="84">
        <f t="shared" si="9"/>
        <v>776.42399999999975</v>
      </c>
      <c r="J229" s="59"/>
      <c r="AK229" s="44">
        <f t="shared" si="10"/>
        <v>3.4</v>
      </c>
    </row>
    <row r="230" spans="2:37">
      <c r="B230" s="107">
        <f t="shared" si="11"/>
        <v>222</v>
      </c>
      <c r="C230" s="41" t="s">
        <v>137</v>
      </c>
      <c r="D230" s="81">
        <v>2</v>
      </c>
      <c r="E230" s="81">
        <f>TRUNC(12.59/0.33+1.9)</f>
        <v>40</v>
      </c>
      <c r="F230" s="67">
        <v>3</v>
      </c>
      <c r="G230" s="122" t="s">
        <v>65</v>
      </c>
      <c r="H230" s="84">
        <v>5.66</v>
      </c>
      <c r="I230" s="84">
        <f t="shared" si="9"/>
        <v>170.25280000000004</v>
      </c>
      <c r="J230" s="59"/>
      <c r="AK230" s="44">
        <f t="shared" si="10"/>
        <v>0.376</v>
      </c>
    </row>
    <row r="231" spans="2:37">
      <c r="B231" s="107">
        <f t="shared" si="11"/>
        <v>223</v>
      </c>
      <c r="C231" s="41" t="s">
        <v>138</v>
      </c>
      <c r="D231" s="81">
        <v>2</v>
      </c>
      <c r="E231" s="81">
        <f>TRUNC(12.59/0.33+1.9)</f>
        <v>40</v>
      </c>
      <c r="F231" s="67">
        <v>3</v>
      </c>
      <c r="G231" s="122" t="s">
        <v>65</v>
      </c>
      <c r="H231" s="84">
        <v>1.42</v>
      </c>
      <c r="I231" s="84">
        <f t="shared" si="9"/>
        <v>42.7136</v>
      </c>
      <c r="J231" s="59"/>
      <c r="AK231" s="44">
        <f t="shared" si="10"/>
        <v>0.376</v>
      </c>
    </row>
    <row r="232" spans="2:37">
      <c r="B232" s="107">
        <f t="shared" si="11"/>
        <v>224</v>
      </c>
      <c r="C232" s="38" t="s">
        <v>176</v>
      </c>
      <c r="D232" s="81"/>
      <c r="E232" s="81"/>
      <c r="F232" s="67"/>
      <c r="G232" s="122"/>
      <c r="H232" s="84"/>
      <c r="I232" s="84">
        <f t="shared" si="9"/>
        <v>0</v>
      </c>
      <c r="J232" s="59"/>
      <c r="AK232" s="44">
        <f t="shared" si="10"/>
        <v>0</v>
      </c>
    </row>
    <row r="233" spans="2:37">
      <c r="B233" s="107">
        <f t="shared" si="11"/>
        <v>225</v>
      </c>
      <c r="C233" s="41" t="s">
        <v>155</v>
      </c>
      <c r="D233" s="81">
        <v>2</v>
      </c>
      <c r="E233" s="81">
        <v>6</v>
      </c>
      <c r="F233" s="67">
        <v>9</v>
      </c>
      <c r="G233" s="122" t="s">
        <v>65</v>
      </c>
      <c r="H233" s="84">
        <f>168.75-157.25-0.16-0.16+2</f>
        <v>13.18</v>
      </c>
      <c r="I233" s="84">
        <f t="shared" si="9"/>
        <v>537.74399999999991</v>
      </c>
      <c r="J233" s="59"/>
      <c r="AK233" s="44">
        <f t="shared" si="10"/>
        <v>3.4</v>
      </c>
    </row>
    <row r="234" spans="2:37">
      <c r="B234" s="107">
        <f t="shared" si="11"/>
        <v>226</v>
      </c>
      <c r="C234" s="41" t="s">
        <v>137</v>
      </c>
      <c r="D234" s="81">
        <v>2</v>
      </c>
      <c r="E234" s="81">
        <f>TRUNC(9.08/0.33+1.9)</f>
        <v>29</v>
      </c>
      <c r="F234" s="67">
        <v>3</v>
      </c>
      <c r="G234" s="122" t="s">
        <v>65</v>
      </c>
      <c r="H234" s="84">
        <v>5.66</v>
      </c>
      <c r="I234" s="84">
        <f t="shared" si="9"/>
        <v>123.43328000000001</v>
      </c>
      <c r="J234" s="59"/>
      <c r="AK234" s="44">
        <f t="shared" si="10"/>
        <v>0.376</v>
      </c>
    </row>
    <row r="235" spans="2:37">
      <c r="B235" s="107">
        <f t="shared" si="11"/>
        <v>227</v>
      </c>
      <c r="C235" s="41" t="s">
        <v>138</v>
      </c>
      <c r="D235" s="81">
        <v>2</v>
      </c>
      <c r="E235" s="81">
        <f>TRUNC(9.08/0.33+1.9)</f>
        <v>29</v>
      </c>
      <c r="F235" s="67">
        <v>3</v>
      </c>
      <c r="G235" s="122" t="s">
        <v>65</v>
      </c>
      <c r="H235" s="84">
        <v>1.42</v>
      </c>
      <c r="I235" s="84">
        <f t="shared" si="9"/>
        <v>30.967359999999996</v>
      </c>
      <c r="J235" s="59"/>
      <c r="AK235" s="44">
        <f t="shared" si="10"/>
        <v>0.376</v>
      </c>
    </row>
    <row r="236" spans="2:37">
      <c r="B236" s="107">
        <f t="shared" si="11"/>
        <v>228</v>
      </c>
      <c r="C236" s="41" t="s">
        <v>167</v>
      </c>
      <c r="D236" s="81"/>
      <c r="E236" s="81"/>
      <c r="F236" s="67"/>
      <c r="G236" s="122"/>
      <c r="H236" s="84"/>
      <c r="I236" s="84">
        <f t="shared" si="9"/>
        <v>0</v>
      </c>
      <c r="J236" s="59"/>
      <c r="AK236" s="44">
        <f t="shared" si="10"/>
        <v>0</v>
      </c>
    </row>
    <row r="237" spans="2:37">
      <c r="B237" s="107">
        <f t="shared" si="11"/>
        <v>229</v>
      </c>
      <c r="C237" s="38" t="s">
        <v>177</v>
      </c>
      <c r="D237" s="81"/>
      <c r="E237" s="81"/>
      <c r="F237" s="67"/>
      <c r="G237" s="122"/>
      <c r="H237" s="84"/>
      <c r="I237" s="84">
        <f t="shared" si="9"/>
        <v>0</v>
      </c>
      <c r="J237" s="59"/>
      <c r="AK237" s="44">
        <f t="shared" si="10"/>
        <v>0</v>
      </c>
    </row>
    <row r="238" spans="2:37">
      <c r="B238" s="107">
        <f t="shared" si="11"/>
        <v>230</v>
      </c>
      <c r="C238" s="41" t="s">
        <v>154</v>
      </c>
      <c r="D238" s="81"/>
      <c r="E238" s="81">
        <v>6</v>
      </c>
      <c r="F238" s="67">
        <v>9</v>
      </c>
      <c r="G238" s="122" t="s">
        <v>57</v>
      </c>
      <c r="H238" s="84">
        <f>147.4-137.4+4.5-0.25-0.16+1</f>
        <v>15.09</v>
      </c>
      <c r="I238" s="84">
        <f t="shared" si="9"/>
        <v>307.83600000000001</v>
      </c>
      <c r="J238" s="59"/>
      <c r="AK238" s="44">
        <f t="shared" si="10"/>
        <v>3.4</v>
      </c>
    </row>
    <row r="239" spans="2:37">
      <c r="B239" s="107">
        <f t="shared" si="11"/>
        <v>231</v>
      </c>
      <c r="C239" s="41" t="s">
        <v>137</v>
      </c>
      <c r="D239" s="81"/>
      <c r="E239" s="81">
        <f>TRUNC(8.64/0.33+1.9)</f>
        <v>28</v>
      </c>
      <c r="F239" s="67">
        <v>3</v>
      </c>
      <c r="G239" s="122" t="s">
        <v>65</v>
      </c>
      <c r="H239" s="84">
        <v>5.66</v>
      </c>
      <c r="I239" s="84">
        <f t="shared" si="9"/>
        <v>59.588480000000004</v>
      </c>
      <c r="J239" s="59"/>
      <c r="AK239" s="44">
        <f t="shared" si="10"/>
        <v>0.376</v>
      </c>
    </row>
    <row r="240" spans="2:37">
      <c r="B240" s="107">
        <f t="shared" si="11"/>
        <v>232</v>
      </c>
      <c r="C240" s="41" t="s">
        <v>138</v>
      </c>
      <c r="D240" s="81"/>
      <c r="E240" s="81">
        <f>TRUNC(8.64/0.33+1.9)</f>
        <v>28</v>
      </c>
      <c r="F240" s="67">
        <v>3</v>
      </c>
      <c r="G240" s="122" t="s">
        <v>65</v>
      </c>
      <c r="H240" s="84">
        <v>1.42</v>
      </c>
      <c r="I240" s="84">
        <f t="shared" si="9"/>
        <v>14.949759999999998</v>
      </c>
      <c r="J240" s="59"/>
      <c r="AK240" s="44">
        <f t="shared" si="10"/>
        <v>0.376</v>
      </c>
    </row>
    <row r="241" spans="2:37">
      <c r="B241" s="107">
        <f t="shared" si="11"/>
        <v>233</v>
      </c>
      <c r="C241" s="38" t="s">
        <v>178</v>
      </c>
      <c r="D241" s="81"/>
      <c r="E241" s="81"/>
      <c r="F241" s="67"/>
      <c r="G241" s="122"/>
      <c r="H241" s="84"/>
      <c r="I241" s="84">
        <f t="shared" si="9"/>
        <v>0</v>
      </c>
      <c r="J241" s="59"/>
      <c r="AK241" s="44">
        <f t="shared" si="10"/>
        <v>0</v>
      </c>
    </row>
    <row r="242" spans="2:37">
      <c r="B242" s="107">
        <f t="shared" si="11"/>
        <v>234</v>
      </c>
      <c r="C242" s="41" t="s">
        <v>154</v>
      </c>
      <c r="D242" s="81"/>
      <c r="E242" s="81">
        <v>6</v>
      </c>
      <c r="F242" s="67">
        <v>9</v>
      </c>
      <c r="G242" s="122" t="s">
        <v>57</v>
      </c>
      <c r="H242" s="84">
        <f>157-149.2+4.5-0.16*2</f>
        <v>11.980000000000011</v>
      </c>
      <c r="I242" s="84">
        <f t="shared" si="9"/>
        <v>244.39200000000022</v>
      </c>
      <c r="J242" s="59"/>
      <c r="AK242" s="44">
        <f t="shared" si="10"/>
        <v>3.4</v>
      </c>
    </row>
    <row r="243" spans="2:37">
      <c r="B243" s="107">
        <f t="shared" si="11"/>
        <v>235</v>
      </c>
      <c r="C243" s="41" t="s">
        <v>137</v>
      </c>
      <c r="D243" s="81"/>
      <c r="E243" s="81">
        <f>TRUNC(6.54/0.33+1.9)</f>
        <v>21</v>
      </c>
      <c r="F243" s="67">
        <v>3</v>
      </c>
      <c r="G243" s="122" t="s">
        <v>65</v>
      </c>
      <c r="H243" s="84">
        <v>5.66</v>
      </c>
      <c r="I243" s="84">
        <f t="shared" si="9"/>
        <v>44.691360000000003</v>
      </c>
      <c r="J243" s="59"/>
      <c r="AK243" s="44">
        <f t="shared" si="10"/>
        <v>0.376</v>
      </c>
    </row>
    <row r="244" spans="2:37">
      <c r="B244" s="107">
        <f t="shared" si="11"/>
        <v>236</v>
      </c>
      <c r="C244" s="41" t="s">
        <v>138</v>
      </c>
      <c r="D244" s="81"/>
      <c r="E244" s="81">
        <f>TRUNC(6.54/0.33+1.9)</f>
        <v>21</v>
      </c>
      <c r="F244" s="67">
        <v>3</v>
      </c>
      <c r="G244" s="122" t="s">
        <v>65</v>
      </c>
      <c r="H244" s="84">
        <v>1.42</v>
      </c>
      <c r="I244" s="84">
        <f t="shared" si="9"/>
        <v>11.212319999999998</v>
      </c>
      <c r="J244" s="59"/>
      <c r="AK244" s="44">
        <f t="shared" si="10"/>
        <v>0.376</v>
      </c>
    </row>
    <row r="245" spans="2:37">
      <c r="B245" s="107">
        <f t="shared" si="11"/>
        <v>237</v>
      </c>
      <c r="C245" s="38" t="s">
        <v>159</v>
      </c>
      <c r="D245" s="81"/>
      <c r="E245" s="81"/>
      <c r="F245" s="67"/>
      <c r="G245" s="122"/>
      <c r="H245" s="84"/>
      <c r="I245" s="84">
        <f t="shared" si="9"/>
        <v>0</v>
      </c>
      <c r="J245" s="59"/>
      <c r="AK245" s="44">
        <f t="shared" si="10"/>
        <v>0</v>
      </c>
    </row>
    <row r="246" spans="2:37">
      <c r="B246" s="107">
        <f t="shared" si="11"/>
        <v>238</v>
      </c>
      <c r="C246" s="41" t="s">
        <v>155</v>
      </c>
      <c r="D246" s="81"/>
      <c r="E246" s="81">
        <v>6</v>
      </c>
      <c r="F246" s="67">
        <v>9</v>
      </c>
      <c r="G246" s="122" t="s">
        <v>65</v>
      </c>
      <c r="H246" s="84">
        <f>168.75-157-0.16-0.16+2</f>
        <v>13.43</v>
      </c>
      <c r="I246" s="84">
        <f t="shared" si="9"/>
        <v>273.97199999999998</v>
      </c>
      <c r="J246" s="59"/>
      <c r="AK246" s="44">
        <f t="shared" si="10"/>
        <v>3.4</v>
      </c>
    </row>
    <row r="247" spans="2:37">
      <c r="B247" s="107">
        <f t="shared" si="11"/>
        <v>239</v>
      </c>
      <c r="C247" s="41" t="s">
        <v>137</v>
      </c>
      <c r="D247" s="81"/>
      <c r="E247" s="81">
        <f>TRUNC(9.38/0.33+1.9)</f>
        <v>30</v>
      </c>
      <c r="F247" s="67">
        <v>3</v>
      </c>
      <c r="G247" s="122" t="s">
        <v>65</v>
      </c>
      <c r="H247" s="84">
        <v>5.66</v>
      </c>
      <c r="I247" s="84">
        <f t="shared" si="9"/>
        <v>63.844800000000006</v>
      </c>
      <c r="J247" s="59"/>
      <c r="AK247" s="44">
        <f t="shared" si="10"/>
        <v>0.376</v>
      </c>
    </row>
    <row r="248" spans="2:37">
      <c r="B248" s="107">
        <f t="shared" si="11"/>
        <v>240</v>
      </c>
      <c r="C248" s="41" t="s">
        <v>138</v>
      </c>
      <c r="D248" s="81"/>
      <c r="E248" s="81">
        <f>TRUNC(9.38/0.33+1.9)</f>
        <v>30</v>
      </c>
      <c r="F248" s="67">
        <v>3</v>
      </c>
      <c r="G248" s="122" t="s">
        <v>65</v>
      </c>
      <c r="H248" s="84">
        <v>1.42</v>
      </c>
      <c r="I248" s="84">
        <f t="shared" si="9"/>
        <v>16.017599999999998</v>
      </c>
      <c r="J248" s="59"/>
      <c r="AK248" s="44">
        <f t="shared" si="10"/>
        <v>0.376</v>
      </c>
    </row>
    <row r="249" spans="2:37">
      <c r="B249" s="107">
        <f t="shared" si="11"/>
        <v>241</v>
      </c>
      <c r="C249" s="38" t="s">
        <v>167</v>
      </c>
      <c r="D249" s="81"/>
      <c r="E249" s="81"/>
      <c r="F249" s="67"/>
      <c r="G249" s="122"/>
      <c r="H249" s="84"/>
      <c r="I249" s="84">
        <f t="shared" si="9"/>
        <v>0</v>
      </c>
      <c r="J249" s="59"/>
      <c r="AK249" s="44">
        <f t="shared" si="10"/>
        <v>0</v>
      </c>
    </row>
    <row r="250" spans="2:37">
      <c r="B250" s="107">
        <f t="shared" si="11"/>
        <v>242</v>
      </c>
      <c r="C250" s="38" t="s">
        <v>179</v>
      </c>
      <c r="D250" s="81"/>
      <c r="E250" s="81"/>
      <c r="F250" s="67"/>
      <c r="G250" s="122"/>
      <c r="H250" s="84"/>
      <c r="I250" s="84">
        <f t="shared" si="9"/>
        <v>0</v>
      </c>
      <c r="J250" s="59"/>
      <c r="AK250" s="44">
        <f t="shared" si="10"/>
        <v>0</v>
      </c>
    </row>
    <row r="251" spans="2:37">
      <c r="B251" s="107">
        <f t="shared" si="11"/>
        <v>243</v>
      </c>
      <c r="C251" s="41" t="s">
        <v>154</v>
      </c>
      <c r="D251" s="81"/>
      <c r="E251" s="81">
        <v>6</v>
      </c>
      <c r="F251" s="67">
        <v>9</v>
      </c>
      <c r="G251" s="122" t="s">
        <v>57</v>
      </c>
      <c r="H251" s="84">
        <f>149.5-137.4+4.5-0.25-0.16+1</f>
        <v>17.189999999999994</v>
      </c>
      <c r="I251" s="84">
        <f t="shared" si="9"/>
        <v>350.67599999999987</v>
      </c>
      <c r="J251" s="59"/>
      <c r="AK251" s="44">
        <f t="shared" si="10"/>
        <v>3.4</v>
      </c>
    </row>
    <row r="252" spans="2:37">
      <c r="B252" s="107">
        <f t="shared" si="11"/>
        <v>244</v>
      </c>
      <c r="C252" s="41" t="s">
        <v>137</v>
      </c>
      <c r="D252" s="81"/>
      <c r="E252" s="81">
        <f>TRUNC(10.94/0.33+1.9)</f>
        <v>35</v>
      </c>
      <c r="F252" s="67">
        <v>3</v>
      </c>
      <c r="G252" s="122" t="s">
        <v>65</v>
      </c>
      <c r="H252" s="84">
        <v>5.66</v>
      </c>
      <c r="I252" s="84">
        <f t="shared" si="9"/>
        <v>74.485600000000005</v>
      </c>
      <c r="J252" s="59"/>
      <c r="AK252" s="44">
        <f t="shared" si="10"/>
        <v>0.376</v>
      </c>
    </row>
    <row r="253" spans="2:37">
      <c r="B253" s="107">
        <f t="shared" si="11"/>
        <v>245</v>
      </c>
      <c r="C253" s="41" t="s">
        <v>138</v>
      </c>
      <c r="D253" s="81"/>
      <c r="E253" s="81">
        <f>TRUNC(10.94/0.33+1.9)</f>
        <v>35</v>
      </c>
      <c r="F253" s="67">
        <v>3</v>
      </c>
      <c r="G253" s="122" t="s">
        <v>65</v>
      </c>
      <c r="H253" s="84">
        <v>1.42</v>
      </c>
      <c r="I253" s="84">
        <f t="shared" si="9"/>
        <v>18.687199999999997</v>
      </c>
      <c r="J253" s="59"/>
      <c r="AK253" s="44">
        <f t="shared" si="10"/>
        <v>0.376</v>
      </c>
    </row>
    <row r="254" spans="2:37">
      <c r="B254" s="107">
        <f t="shared" si="11"/>
        <v>246</v>
      </c>
      <c r="C254" s="38" t="s">
        <v>180</v>
      </c>
      <c r="D254" s="81"/>
      <c r="E254" s="81"/>
      <c r="F254" s="67"/>
      <c r="G254" s="122"/>
      <c r="H254" s="84"/>
      <c r="I254" s="84">
        <f t="shared" si="9"/>
        <v>0</v>
      </c>
      <c r="J254" s="59"/>
      <c r="AK254" s="44">
        <f t="shared" si="10"/>
        <v>0</v>
      </c>
    </row>
    <row r="255" spans="2:37">
      <c r="B255" s="107">
        <f t="shared" si="11"/>
        <v>247</v>
      </c>
      <c r="C255" s="41" t="s">
        <v>154</v>
      </c>
      <c r="D255" s="81"/>
      <c r="E255" s="81">
        <v>6</v>
      </c>
      <c r="F255" s="67">
        <v>9</v>
      </c>
      <c r="G255" s="122" t="s">
        <v>57</v>
      </c>
      <c r="H255" s="84">
        <f>157-149.5+4.5-0.16*2</f>
        <v>11.68</v>
      </c>
      <c r="I255" s="84">
        <f t="shared" si="9"/>
        <v>238.27199999999999</v>
      </c>
      <c r="J255" s="59"/>
      <c r="AK255" s="44">
        <f t="shared" si="10"/>
        <v>3.4</v>
      </c>
    </row>
    <row r="256" spans="2:37">
      <c r="B256" s="107">
        <f t="shared" si="11"/>
        <v>248</v>
      </c>
      <c r="C256" s="41" t="s">
        <v>137</v>
      </c>
      <c r="D256" s="81"/>
      <c r="E256" s="81">
        <f>TRUNC(5.24/0.33+1.9)</f>
        <v>17</v>
      </c>
      <c r="F256" s="67">
        <v>3</v>
      </c>
      <c r="G256" s="122" t="s">
        <v>65</v>
      </c>
      <c r="H256" s="84">
        <v>5.66</v>
      </c>
      <c r="I256" s="84">
        <f t="shared" si="9"/>
        <v>36.178720000000006</v>
      </c>
      <c r="J256" s="59"/>
      <c r="AK256" s="44">
        <f t="shared" si="10"/>
        <v>0.376</v>
      </c>
    </row>
    <row r="257" spans="2:37">
      <c r="B257" s="107">
        <f t="shared" si="11"/>
        <v>249</v>
      </c>
      <c r="C257" s="41" t="s">
        <v>138</v>
      </c>
      <c r="D257" s="81"/>
      <c r="E257" s="81">
        <f>TRUNC(5.24/0.33+1.9)</f>
        <v>17</v>
      </c>
      <c r="F257" s="67">
        <v>3</v>
      </c>
      <c r="G257" s="122" t="s">
        <v>65</v>
      </c>
      <c r="H257" s="84">
        <v>1.42</v>
      </c>
      <c r="I257" s="84">
        <f t="shared" si="9"/>
        <v>9.0766399999999994</v>
      </c>
      <c r="J257" s="59"/>
      <c r="AK257" s="44">
        <f t="shared" si="10"/>
        <v>0.376</v>
      </c>
    </row>
    <row r="258" spans="2:37">
      <c r="B258" s="107">
        <f t="shared" si="11"/>
        <v>250</v>
      </c>
      <c r="C258" s="38"/>
      <c r="D258" s="81"/>
      <c r="E258" s="81"/>
      <c r="F258" s="67"/>
      <c r="G258" s="122"/>
      <c r="H258" s="84"/>
      <c r="I258" s="84">
        <f t="shared" si="9"/>
        <v>0</v>
      </c>
      <c r="J258" s="59"/>
      <c r="AK258" s="44">
        <f t="shared" si="10"/>
        <v>0</v>
      </c>
    </row>
    <row r="259" spans="2:37">
      <c r="B259" s="107">
        <f t="shared" si="11"/>
        <v>251</v>
      </c>
      <c r="C259" s="38" t="s">
        <v>159</v>
      </c>
      <c r="D259" s="81"/>
      <c r="E259" s="81"/>
      <c r="F259" s="67"/>
      <c r="G259" s="122"/>
      <c r="H259" s="84"/>
      <c r="I259" s="84">
        <f t="shared" si="9"/>
        <v>0</v>
      </c>
      <c r="J259" s="59"/>
      <c r="AK259" s="44">
        <f t="shared" si="10"/>
        <v>0</v>
      </c>
    </row>
    <row r="260" spans="2:37">
      <c r="B260" s="107">
        <f t="shared" si="11"/>
        <v>252</v>
      </c>
      <c r="C260" s="41" t="s">
        <v>155</v>
      </c>
      <c r="D260" s="81"/>
      <c r="E260" s="81">
        <v>6</v>
      </c>
      <c r="F260" s="67">
        <v>9</v>
      </c>
      <c r="G260" s="122" t="s">
        <v>65</v>
      </c>
      <c r="H260" s="84">
        <f>168.75-157-0.16-0.16+2</f>
        <v>13.43</v>
      </c>
      <c r="I260" s="84">
        <f t="shared" si="9"/>
        <v>273.97199999999998</v>
      </c>
      <c r="J260" s="59"/>
      <c r="AK260" s="44">
        <f t="shared" si="10"/>
        <v>3.4</v>
      </c>
    </row>
    <row r="261" spans="2:37">
      <c r="B261" s="107">
        <f t="shared" si="11"/>
        <v>253</v>
      </c>
      <c r="C261" s="41" t="s">
        <v>137</v>
      </c>
      <c r="D261" s="81"/>
      <c r="E261" s="81">
        <f>TRUNC(9.38/0.33+1.9)</f>
        <v>30</v>
      </c>
      <c r="F261" s="67">
        <v>3</v>
      </c>
      <c r="G261" s="122" t="s">
        <v>65</v>
      </c>
      <c r="H261" s="84">
        <v>5.66</v>
      </c>
      <c r="I261" s="84">
        <f t="shared" si="9"/>
        <v>63.844800000000006</v>
      </c>
      <c r="J261" s="59"/>
      <c r="AK261" s="44">
        <f t="shared" si="10"/>
        <v>0.376</v>
      </c>
    </row>
    <row r="262" spans="2:37">
      <c r="B262" s="107">
        <f t="shared" si="11"/>
        <v>254</v>
      </c>
      <c r="C262" s="41" t="s">
        <v>138</v>
      </c>
      <c r="D262" s="81"/>
      <c r="E262" s="81">
        <f>TRUNC(9.38/0.33+1.9)</f>
        <v>30</v>
      </c>
      <c r="F262" s="67">
        <v>3</v>
      </c>
      <c r="G262" s="122" t="s">
        <v>65</v>
      </c>
      <c r="H262" s="84">
        <v>1.42</v>
      </c>
      <c r="I262" s="84">
        <f t="shared" si="9"/>
        <v>16.017599999999998</v>
      </c>
      <c r="J262" s="59"/>
      <c r="AK262" s="44">
        <f t="shared" si="10"/>
        <v>0.376</v>
      </c>
    </row>
    <row r="263" spans="2:37">
      <c r="B263" s="107">
        <f t="shared" si="11"/>
        <v>255</v>
      </c>
      <c r="C263" s="38" t="s">
        <v>181</v>
      </c>
      <c r="D263" s="81"/>
      <c r="E263" s="81"/>
      <c r="F263" s="67"/>
      <c r="G263" s="122"/>
      <c r="H263" s="84"/>
      <c r="I263" s="84">
        <f t="shared" si="9"/>
        <v>0</v>
      </c>
      <c r="J263" s="59"/>
      <c r="AK263" s="44">
        <f t="shared" si="10"/>
        <v>0</v>
      </c>
    </row>
    <row r="264" spans="2:37">
      <c r="B264" s="107">
        <f t="shared" si="11"/>
        <v>256</v>
      </c>
      <c r="C264" s="38" t="s">
        <v>182</v>
      </c>
      <c r="D264" s="81"/>
      <c r="E264" s="81"/>
      <c r="F264" s="67"/>
      <c r="G264" s="122"/>
      <c r="H264" s="84"/>
      <c r="I264" s="84">
        <f t="shared" si="9"/>
        <v>0</v>
      </c>
      <c r="J264" s="59"/>
      <c r="AK264" s="44">
        <f t="shared" si="10"/>
        <v>0</v>
      </c>
    </row>
    <row r="265" spans="2:37">
      <c r="B265" s="107">
        <f t="shared" si="11"/>
        <v>257</v>
      </c>
      <c r="C265" s="41" t="s">
        <v>154</v>
      </c>
      <c r="D265" s="81"/>
      <c r="E265" s="81">
        <v>6</v>
      </c>
      <c r="F265" s="67">
        <v>9</v>
      </c>
      <c r="G265" s="122" t="s">
        <v>57</v>
      </c>
      <c r="H265" s="84">
        <f>143.4-133.6+4.5-0.25-0.16+1</f>
        <v>14.890000000000011</v>
      </c>
      <c r="I265" s="84">
        <f t="shared" ref="I265:I328" si="12">IF(D265="",AK265*H265*E265,AK265*H265*E265*D265)</f>
        <v>303.75600000000026</v>
      </c>
      <c r="J265" s="59"/>
      <c r="AK265" s="44">
        <f t="shared" ref="AK265:AK328" si="13">IF(F265="",0,VLOOKUP(F265,$CI$16:$CJ$38,2,FALSE))</f>
        <v>3.4</v>
      </c>
    </row>
    <row r="266" spans="2:37">
      <c r="B266" s="107">
        <f t="shared" ref="B266:B329" si="14">IF(B265="SL.NO",1,B265+1)</f>
        <v>258</v>
      </c>
      <c r="C266" s="41" t="s">
        <v>137</v>
      </c>
      <c r="D266" s="81"/>
      <c r="E266" s="81">
        <f>TRUNC(8.64/0.33+1.9)</f>
        <v>28</v>
      </c>
      <c r="F266" s="67">
        <v>3</v>
      </c>
      <c r="G266" s="122" t="s">
        <v>65</v>
      </c>
      <c r="H266" s="84">
        <v>5.66</v>
      </c>
      <c r="I266" s="84">
        <f t="shared" si="12"/>
        <v>59.588480000000004</v>
      </c>
      <c r="J266" s="59"/>
      <c r="AK266" s="44">
        <f t="shared" si="13"/>
        <v>0.376</v>
      </c>
    </row>
    <row r="267" spans="2:37">
      <c r="B267" s="107">
        <f t="shared" si="14"/>
        <v>259</v>
      </c>
      <c r="C267" s="41" t="s">
        <v>138</v>
      </c>
      <c r="D267" s="81"/>
      <c r="E267" s="81">
        <f>TRUNC(8.64/0.33+1.9)</f>
        <v>28</v>
      </c>
      <c r="F267" s="67">
        <v>3</v>
      </c>
      <c r="G267" s="122" t="s">
        <v>65</v>
      </c>
      <c r="H267" s="84">
        <v>1.42</v>
      </c>
      <c r="I267" s="84">
        <f t="shared" si="12"/>
        <v>14.949759999999998</v>
      </c>
      <c r="J267" s="59"/>
      <c r="AK267" s="44">
        <f t="shared" si="13"/>
        <v>0.376</v>
      </c>
    </row>
    <row r="268" spans="2:37">
      <c r="B268" s="107">
        <f t="shared" si="14"/>
        <v>260</v>
      </c>
      <c r="C268" s="38" t="s">
        <v>183</v>
      </c>
      <c r="D268" s="81"/>
      <c r="E268" s="81"/>
      <c r="F268" s="67"/>
      <c r="G268" s="122"/>
      <c r="H268" s="84"/>
      <c r="I268" s="84">
        <f t="shared" si="12"/>
        <v>0</v>
      </c>
      <c r="J268" s="59"/>
      <c r="AK268" s="44">
        <f t="shared" si="13"/>
        <v>0</v>
      </c>
    </row>
    <row r="269" spans="2:37">
      <c r="B269" s="107">
        <f t="shared" si="14"/>
        <v>261</v>
      </c>
      <c r="C269" s="41" t="s">
        <v>154</v>
      </c>
      <c r="D269" s="81"/>
      <c r="E269" s="81">
        <v>6</v>
      </c>
      <c r="F269" s="67">
        <v>9</v>
      </c>
      <c r="G269" s="122" t="s">
        <v>57</v>
      </c>
      <c r="H269" s="84">
        <f>157.15-143.4+4.5-0.16*2</f>
        <v>17.93</v>
      </c>
      <c r="I269" s="84">
        <f t="shared" si="12"/>
        <v>365.77199999999999</v>
      </c>
      <c r="J269" s="59"/>
      <c r="AK269" s="44">
        <f t="shared" si="13"/>
        <v>3.4</v>
      </c>
    </row>
    <row r="270" spans="2:37">
      <c r="B270" s="107">
        <f t="shared" si="14"/>
        <v>262</v>
      </c>
      <c r="C270" s="41" t="s">
        <v>137</v>
      </c>
      <c r="D270" s="81"/>
      <c r="E270" s="81">
        <f>TRUNC(11.49/0.33+1.9)</f>
        <v>36</v>
      </c>
      <c r="F270" s="67">
        <v>3</v>
      </c>
      <c r="G270" s="122" t="s">
        <v>65</v>
      </c>
      <c r="H270" s="84">
        <v>5.66</v>
      </c>
      <c r="I270" s="84">
        <f t="shared" si="12"/>
        <v>76.613760000000013</v>
      </c>
      <c r="J270" s="109"/>
      <c r="AK270" s="44">
        <f t="shared" si="13"/>
        <v>0.376</v>
      </c>
    </row>
    <row r="271" spans="2:37">
      <c r="B271" s="107">
        <f t="shared" si="14"/>
        <v>263</v>
      </c>
      <c r="C271" s="41" t="s">
        <v>138</v>
      </c>
      <c r="D271" s="81"/>
      <c r="E271" s="81">
        <f>TRUNC(11.49/0.33+1.9)</f>
        <v>36</v>
      </c>
      <c r="F271" s="67">
        <v>3</v>
      </c>
      <c r="G271" s="122" t="s">
        <v>65</v>
      </c>
      <c r="H271" s="84">
        <v>1.42</v>
      </c>
      <c r="I271" s="84">
        <f t="shared" si="12"/>
        <v>19.221119999999999</v>
      </c>
      <c r="J271" s="59"/>
      <c r="AK271" s="44">
        <f t="shared" si="13"/>
        <v>0.376</v>
      </c>
    </row>
    <row r="272" spans="2:37">
      <c r="B272" s="107">
        <f t="shared" si="14"/>
        <v>264</v>
      </c>
      <c r="C272" s="38" t="s">
        <v>184</v>
      </c>
      <c r="D272" s="81"/>
      <c r="E272" s="81"/>
      <c r="F272" s="67"/>
      <c r="G272" s="122"/>
      <c r="H272" s="84"/>
      <c r="I272" s="84">
        <f t="shared" si="12"/>
        <v>0</v>
      </c>
      <c r="J272" s="59"/>
      <c r="AK272" s="44">
        <f t="shared" si="13"/>
        <v>0</v>
      </c>
    </row>
    <row r="273" spans="2:37">
      <c r="B273" s="107">
        <f t="shared" si="14"/>
        <v>265</v>
      </c>
      <c r="C273" s="41" t="s">
        <v>154</v>
      </c>
      <c r="D273" s="81"/>
      <c r="E273" s="81">
        <v>6</v>
      </c>
      <c r="F273" s="67">
        <v>9</v>
      </c>
      <c r="G273" s="122" t="s">
        <v>65</v>
      </c>
      <c r="H273" s="84">
        <f>168.75-157.15-0.16-0.16+2</f>
        <v>13.279999999999994</v>
      </c>
      <c r="I273" s="84">
        <f t="shared" si="12"/>
        <v>270.91199999999986</v>
      </c>
      <c r="J273" s="59"/>
      <c r="AK273" s="44">
        <f t="shared" si="13"/>
        <v>3.4</v>
      </c>
    </row>
    <row r="274" spans="2:37">
      <c r="B274" s="107">
        <f t="shared" si="14"/>
        <v>266</v>
      </c>
      <c r="C274" s="41" t="s">
        <v>137</v>
      </c>
      <c r="D274" s="81"/>
      <c r="E274" s="81">
        <f>TRUNC(9.18/0.33+1.9)</f>
        <v>29</v>
      </c>
      <c r="F274" s="67">
        <v>3</v>
      </c>
      <c r="G274" s="122" t="s">
        <v>65</v>
      </c>
      <c r="H274" s="84">
        <v>5.66</v>
      </c>
      <c r="I274" s="84">
        <f t="shared" si="12"/>
        <v>61.716640000000005</v>
      </c>
      <c r="J274" s="59"/>
      <c r="AK274" s="44">
        <f t="shared" si="13"/>
        <v>0.376</v>
      </c>
    </row>
    <row r="275" spans="2:37">
      <c r="B275" s="107">
        <f t="shared" si="14"/>
        <v>267</v>
      </c>
      <c r="C275" s="41" t="s">
        <v>138</v>
      </c>
      <c r="D275" s="81"/>
      <c r="E275" s="81">
        <f>TRUNC(9.18/0.33+1.9)</f>
        <v>29</v>
      </c>
      <c r="F275" s="67">
        <v>3</v>
      </c>
      <c r="G275" s="122" t="s">
        <v>65</v>
      </c>
      <c r="H275" s="84">
        <v>1.42</v>
      </c>
      <c r="I275" s="84">
        <f t="shared" si="12"/>
        <v>15.483679999999998</v>
      </c>
      <c r="J275" s="59"/>
      <c r="AK275" s="44">
        <f t="shared" si="13"/>
        <v>0.376</v>
      </c>
    </row>
    <row r="276" spans="2:37">
      <c r="B276" s="107">
        <f t="shared" si="14"/>
        <v>268</v>
      </c>
      <c r="C276" s="38" t="s">
        <v>185</v>
      </c>
      <c r="D276" s="81"/>
      <c r="E276" s="81"/>
      <c r="F276" s="67"/>
      <c r="G276" s="122"/>
      <c r="H276" s="84"/>
      <c r="I276" s="84">
        <f t="shared" si="12"/>
        <v>0</v>
      </c>
      <c r="J276" s="59"/>
      <c r="AK276" s="44">
        <f t="shared" si="13"/>
        <v>0</v>
      </c>
    </row>
    <row r="277" spans="2:37">
      <c r="B277" s="107">
        <f t="shared" si="14"/>
        <v>269</v>
      </c>
      <c r="C277" s="38" t="s">
        <v>186</v>
      </c>
      <c r="D277" s="81"/>
      <c r="E277" s="81"/>
      <c r="F277" s="67"/>
      <c r="G277" s="122"/>
      <c r="H277" s="84"/>
      <c r="I277" s="84">
        <f t="shared" si="12"/>
        <v>0</v>
      </c>
      <c r="J277" s="59"/>
      <c r="AK277" s="44">
        <f t="shared" si="13"/>
        <v>0</v>
      </c>
    </row>
    <row r="278" spans="2:37">
      <c r="B278" s="107">
        <f t="shared" si="14"/>
        <v>270</v>
      </c>
      <c r="C278" s="41" t="s">
        <v>154</v>
      </c>
      <c r="D278" s="81">
        <v>2</v>
      </c>
      <c r="E278" s="81">
        <v>6</v>
      </c>
      <c r="F278" s="67">
        <v>9</v>
      </c>
      <c r="G278" s="122" t="s">
        <v>57</v>
      </c>
      <c r="H278" s="84">
        <f>147.3-137.5+4.5-0.25-0.16+1</f>
        <v>14.890000000000011</v>
      </c>
      <c r="I278" s="84">
        <f t="shared" si="12"/>
        <v>607.51200000000051</v>
      </c>
      <c r="J278" s="59"/>
      <c r="AK278" s="44">
        <f t="shared" si="13"/>
        <v>3.4</v>
      </c>
    </row>
    <row r="279" spans="2:37">
      <c r="B279" s="107">
        <f t="shared" si="14"/>
        <v>271</v>
      </c>
      <c r="C279" s="41" t="s">
        <v>137</v>
      </c>
      <c r="D279" s="81">
        <v>2</v>
      </c>
      <c r="E279" s="81">
        <f>TRUNC(8.64/0.33+1.9)</f>
        <v>28</v>
      </c>
      <c r="F279" s="67">
        <v>3</v>
      </c>
      <c r="G279" s="122" t="s">
        <v>65</v>
      </c>
      <c r="H279" s="84">
        <v>5.66</v>
      </c>
      <c r="I279" s="84">
        <f t="shared" si="12"/>
        <v>119.17696000000001</v>
      </c>
      <c r="J279" s="59"/>
      <c r="AK279" s="44">
        <f t="shared" si="13"/>
        <v>0.376</v>
      </c>
    </row>
    <row r="280" spans="2:37">
      <c r="B280" s="107">
        <f t="shared" si="14"/>
        <v>272</v>
      </c>
      <c r="C280" s="41" t="s">
        <v>138</v>
      </c>
      <c r="D280" s="81">
        <v>2</v>
      </c>
      <c r="E280" s="81">
        <f>TRUNC(8.64/0.33+1.9)</f>
        <v>28</v>
      </c>
      <c r="F280" s="67">
        <v>3</v>
      </c>
      <c r="G280" s="122" t="s">
        <v>65</v>
      </c>
      <c r="H280" s="84">
        <v>1.42</v>
      </c>
      <c r="I280" s="84">
        <f t="shared" si="12"/>
        <v>29.899519999999995</v>
      </c>
      <c r="J280" s="59"/>
      <c r="AK280" s="44">
        <f t="shared" si="13"/>
        <v>0.376</v>
      </c>
    </row>
    <row r="281" spans="2:37">
      <c r="B281" s="107">
        <f t="shared" si="14"/>
        <v>273</v>
      </c>
      <c r="C281" s="38" t="s">
        <v>187</v>
      </c>
      <c r="D281" s="81"/>
      <c r="E281" s="81"/>
      <c r="F281" s="67"/>
      <c r="G281" s="122"/>
      <c r="H281" s="84"/>
      <c r="I281" s="84">
        <f t="shared" si="12"/>
        <v>0</v>
      </c>
      <c r="J281" s="59"/>
      <c r="AK281" s="44">
        <f t="shared" si="13"/>
        <v>0</v>
      </c>
    </row>
    <row r="282" spans="2:37">
      <c r="B282" s="107">
        <f t="shared" si="14"/>
        <v>274</v>
      </c>
      <c r="C282" s="41" t="s">
        <v>154</v>
      </c>
      <c r="D282" s="81">
        <v>2</v>
      </c>
      <c r="E282" s="81">
        <v>6</v>
      </c>
      <c r="F282" s="67">
        <v>9</v>
      </c>
      <c r="G282" s="122" t="s">
        <v>57</v>
      </c>
      <c r="H282" s="84">
        <f>156.7-147.3+4.5-0.16*2</f>
        <v>13.579999999999977</v>
      </c>
      <c r="I282" s="84">
        <f t="shared" si="12"/>
        <v>554.06399999999906</v>
      </c>
      <c r="J282" s="59"/>
      <c r="AK282" s="44">
        <f t="shared" si="13"/>
        <v>3.4</v>
      </c>
    </row>
    <row r="283" spans="2:37">
      <c r="B283" s="107">
        <f t="shared" si="14"/>
        <v>275</v>
      </c>
      <c r="C283" s="41" t="s">
        <v>137</v>
      </c>
      <c r="D283" s="81">
        <v>2</v>
      </c>
      <c r="E283" s="81">
        <f>TRUNC(7.14/0.33+1.9)</f>
        <v>23</v>
      </c>
      <c r="F283" s="67">
        <v>3</v>
      </c>
      <c r="G283" s="122" t="s">
        <v>65</v>
      </c>
      <c r="H283" s="84">
        <v>5.66</v>
      </c>
      <c r="I283" s="84">
        <f t="shared" si="12"/>
        <v>97.895360000000011</v>
      </c>
      <c r="J283" s="59"/>
      <c r="AK283" s="44">
        <f t="shared" si="13"/>
        <v>0.376</v>
      </c>
    </row>
    <row r="284" spans="2:37">
      <c r="B284" s="107">
        <f t="shared" si="14"/>
        <v>276</v>
      </c>
      <c r="C284" s="41" t="s">
        <v>138</v>
      </c>
      <c r="D284" s="81">
        <v>2</v>
      </c>
      <c r="E284" s="81">
        <f>TRUNC(7.14/0.33+1.9)</f>
        <v>23</v>
      </c>
      <c r="F284" s="67">
        <v>3</v>
      </c>
      <c r="G284" s="122" t="s">
        <v>65</v>
      </c>
      <c r="H284" s="84">
        <v>1.42</v>
      </c>
      <c r="I284" s="84">
        <f t="shared" si="12"/>
        <v>24.560319999999997</v>
      </c>
      <c r="J284" s="59"/>
      <c r="AK284" s="44">
        <f t="shared" si="13"/>
        <v>0.376</v>
      </c>
    </row>
    <row r="285" spans="2:37">
      <c r="B285" s="107">
        <f t="shared" si="14"/>
        <v>277</v>
      </c>
      <c r="C285" s="38" t="s">
        <v>188</v>
      </c>
      <c r="D285" s="81"/>
      <c r="E285" s="81"/>
      <c r="F285" s="67"/>
      <c r="G285" s="122"/>
      <c r="H285" s="84"/>
      <c r="I285" s="84">
        <f t="shared" si="12"/>
        <v>0</v>
      </c>
      <c r="J285" s="59"/>
      <c r="AK285" s="44">
        <f t="shared" si="13"/>
        <v>0</v>
      </c>
    </row>
    <row r="286" spans="2:37">
      <c r="B286" s="107">
        <f t="shared" si="14"/>
        <v>278</v>
      </c>
      <c r="C286" s="41" t="s">
        <v>155</v>
      </c>
      <c r="D286" s="81">
        <v>2</v>
      </c>
      <c r="E286" s="81">
        <v>6</v>
      </c>
      <c r="F286" s="67">
        <v>9</v>
      </c>
      <c r="G286" s="122" t="s">
        <v>65</v>
      </c>
      <c r="H286" s="84">
        <f>168.75-156.7-0.16-0.16+2</f>
        <v>13.730000000000011</v>
      </c>
      <c r="I286" s="84">
        <f t="shared" si="12"/>
        <v>560.18400000000042</v>
      </c>
      <c r="J286" s="59"/>
      <c r="AK286" s="44">
        <f t="shared" si="13"/>
        <v>3.4</v>
      </c>
    </row>
    <row r="287" spans="2:37">
      <c r="B287" s="107">
        <f t="shared" si="14"/>
        <v>279</v>
      </c>
      <c r="C287" s="41" t="s">
        <v>137</v>
      </c>
      <c r="D287" s="81">
        <v>2</v>
      </c>
      <c r="E287" s="81">
        <f>TRUNC(9.63/0.33+1.9)</f>
        <v>31</v>
      </c>
      <c r="F287" s="67">
        <v>3</v>
      </c>
      <c r="G287" s="122" t="s">
        <v>65</v>
      </c>
      <c r="H287" s="84">
        <v>5.66</v>
      </c>
      <c r="I287" s="84">
        <f t="shared" si="12"/>
        <v>131.94592000000003</v>
      </c>
      <c r="J287" s="59"/>
      <c r="AK287" s="44">
        <f t="shared" si="13"/>
        <v>0.376</v>
      </c>
    </row>
    <row r="288" spans="2:37">
      <c r="B288" s="107">
        <f t="shared" si="14"/>
        <v>280</v>
      </c>
      <c r="C288" s="41" t="s">
        <v>138</v>
      </c>
      <c r="D288" s="81">
        <v>2</v>
      </c>
      <c r="E288" s="81">
        <f>TRUNC(9.63/0.33+1.9)</f>
        <v>31</v>
      </c>
      <c r="F288" s="67">
        <v>3</v>
      </c>
      <c r="G288" s="122" t="s">
        <v>65</v>
      </c>
      <c r="H288" s="84">
        <v>1.42</v>
      </c>
      <c r="I288" s="84">
        <f t="shared" si="12"/>
        <v>33.10304</v>
      </c>
      <c r="J288" s="109"/>
      <c r="AK288" s="44">
        <f t="shared" si="13"/>
        <v>0.376</v>
      </c>
    </row>
    <row r="289" spans="2:37">
      <c r="B289" s="107">
        <f t="shared" si="14"/>
        <v>281</v>
      </c>
      <c r="C289" s="38" t="s">
        <v>189</v>
      </c>
      <c r="D289" s="81"/>
      <c r="E289" s="81"/>
      <c r="F289" s="67"/>
      <c r="G289" s="122"/>
      <c r="H289" s="84"/>
      <c r="I289" s="84">
        <f t="shared" si="12"/>
        <v>0</v>
      </c>
      <c r="J289" s="59"/>
      <c r="AK289" s="44">
        <f t="shared" si="13"/>
        <v>0</v>
      </c>
    </row>
    <row r="290" spans="2:37">
      <c r="B290" s="107">
        <f t="shared" si="14"/>
        <v>282</v>
      </c>
      <c r="C290" s="38" t="s">
        <v>157</v>
      </c>
      <c r="D290" s="81"/>
      <c r="E290" s="81"/>
      <c r="F290" s="67"/>
      <c r="G290" s="122"/>
      <c r="H290" s="84"/>
      <c r="I290" s="84">
        <f t="shared" si="12"/>
        <v>0</v>
      </c>
      <c r="J290" s="59"/>
      <c r="AK290" s="44">
        <f t="shared" si="13"/>
        <v>0</v>
      </c>
    </row>
    <row r="291" spans="2:37">
      <c r="B291" s="107">
        <f t="shared" si="14"/>
        <v>283</v>
      </c>
      <c r="C291" s="41" t="s">
        <v>154</v>
      </c>
      <c r="D291" s="81"/>
      <c r="E291" s="81">
        <v>6</v>
      </c>
      <c r="F291" s="67">
        <v>9</v>
      </c>
      <c r="G291" s="122" t="s">
        <v>57</v>
      </c>
      <c r="H291" s="84">
        <f>149-137.4+4.5-0.25-0.16+1</f>
        <v>16.689999999999994</v>
      </c>
      <c r="I291" s="84">
        <f t="shared" si="12"/>
        <v>340.47599999999989</v>
      </c>
      <c r="J291" s="59"/>
      <c r="AK291" s="44">
        <f t="shared" si="13"/>
        <v>3.4</v>
      </c>
    </row>
    <row r="292" spans="2:37">
      <c r="B292" s="107">
        <f t="shared" si="14"/>
        <v>284</v>
      </c>
      <c r="C292" s="41" t="s">
        <v>137</v>
      </c>
      <c r="D292" s="81"/>
      <c r="E292" s="81">
        <f>TRUNC(10.44/0.33+1.9)</f>
        <v>33</v>
      </c>
      <c r="F292" s="67">
        <v>3</v>
      </c>
      <c r="G292" s="122" t="s">
        <v>65</v>
      </c>
      <c r="H292" s="84">
        <v>5.66</v>
      </c>
      <c r="I292" s="84">
        <f t="shared" si="12"/>
        <v>70.229280000000003</v>
      </c>
      <c r="J292" s="59"/>
      <c r="AK292" s="44">
        <f t="shared" si="13"/>
        <v>0.376</v>
      </c>
    </row>
    <row r="293" spans="2:37">
      <c r="B293" s="107">
        <f t="shared" si="14"/>
        <v>285</v>
      </c>
      <c r="C293" s="41" t="s">
        <v>138</v>
      </c>
      <c r="D293" s="81"/>
      <c r="E293" s="81">
        <f>TRUNC(10.44/0.33+1.9)</f>
        <v>33</v>
      </c>
      <c r="F293" s="67">
        <v>3</v>
      </c>
      <c r="G293" s="122" t="s">
        <v>65</v>
      </c>
      <c r="H293" s="84">
        <v>1.42</v>
      </c>
      <c r="I293" s="84">
        <f t="shared" si="12"/>
        <v>17.619359999999997</v>
      </c>
      <c r="J293" s="59"/>
      <c r="AK293" s="44">
        <f t="shared" si="13"/>
        <v>0.376</v>
      </c>
    </row>
    <row r="294" spans="2:37">
      <c r="B294" s="107">
        <f t="shared" si="14"/>
        <v>286</v>
      </c>
      <c r="C294" s="38" t="s">
        <v>158</v>
      </c>
      <c r="D294" s="81"/>
      <c r="E294" s="81"/>
      <c r="F294" s="67"/>
      <c r="G294" s="122"/>
      <c r="H294" s="84"/>
      <c r="I294" s="84">
        <f t="shared" si="12"/>
        <v>0</v>
      </c>
      <c r="J294" s="59"/>
      <c r="AK294" s="44">
        <f t="shared" si="13"/>
        <v>0</v>
      </c>
    </row>
    <row r="295" spans="2:37">
      <c r="B295" s="107">
        <f t="shared" si="14"/>
        <v>287</v>
      </c>
      <c r="C295" s="41" t="s">
        <v>154</v>
      </c>
      <c r="D295" s="81"/>
      <c r="E295" s="81">
        <v>6</v>
      </c>
      <c r="F295" s="67">
        <v>9</v>
      </c>
      <c r="G295" s="122" t="s">
        <v>57</v>
      </c>
      <c r="H295" s="84">
        <f>157-149+4.5-0.16*2</f>
        <v>12.18</v>
      </c>
      <c r="I295" s="84">
        <f t="shared" si="12"/>
        <v>248.47199999999998</v>
      </c>
      <c r="J295" s="59"/>
      <c r="AK295" s="44">
        <f t="shared" si="13"/>
        <v>3.4</v>
      </c>
    </row>
    <row r="296" spans="2:37">
      <c r="B296" s="107">
        <f t="shared" si="14"/>
        <v>288</v>
      </c>
      <c r="C296" s="41" t="s">
        <v>137</v>
      </c>
      <c r="D296" s="81"/>
      <c r="E296" s="81">
        <f>TRUNC(5.74/0.33+1.9)</f>
        <v>19</v>
      </c>
      <c r="F296" s="67">
        <v>3</v>
      </c>
      <c r="G296" s="122" t="s">
        <v>65</v>
      </c>
      <c r="H296" s="84">
        <v>5.66</v>
      </c>
      <c r="I296" s="84">
        <f t="shared" si="12"/>
        <v>40.435040000000008</v>
      </c>
      <c r="J296" s="59"/>
      <c r="AK296" s="44">
        <f t="shared" si="13"/>
        <v>0.376</v>
      </c>
    </row>
    <row r="297" spans="2:37">
      <c r="B297" s="107">
        <f t="shared" si="14"/>
        <v>289</v>
      </c>
      <c r="C297" s="41" t="s">
        <v>138</v>
      </c>
      <c r="D297" s="81"/>
      <c r="E297" s="81">
        <f>TRUNC(5.74/0.33+1.9)</f>
        <v>19</v>
      </c>
      <c r="F297" s="67">
        <v>3</v>
      </c>
      <c r="G297" s="122" t="s">
        <v>65</v>
      </c>
      <c r="H297" s="84">
        <v>1.42</v>
      </c>
      <c r="I297" s="84">
        <f t="shared" si="12"/>
        <v>10.14448</v>
      </c>
      <c r="J297" s="59"/>
      <c r="AK297" s="44">
        <f t="shared" si="13"/>
        <v>0.376</v>
      </c>
    </row>
    <row r="298" spans="2:37">
      <c r="B298" s="107">
        <f t="shared" si="14"/>
        <v>290</v>
      </c>
      <c r="C298" s="38" t="s">
        <v>159</v>
      </c>
      <c r="D298" s="81"/>
      <c r="E298" s="81"/>
      <c r="F298" s="67"/>
      <c r="G298" s="122"/>
      <c r="H298" s="84"/>
      <c r="I298" s="84">
        <f t="shared" si="12"/>
        <v>0</v>
      </c>
      <c r="J298" s="59"/>
      <c r="AK298" s="44">
        <f t="shared" si="13"/>
        <v>0</v>
      </c>
    </row>
    <row r="299" spans="2:37">
      <c r="B299" s="107">
        <f t="shared" si="14"/>
        <v>291</v>
      </c>
      <c r="C299" s="41" t="s">
        <v>155</v>
      </c>
      <c r="D299" s="81"/>
      <c r="E299" s="81">
        <v>6</v>
      </c>
      <c r="F299" s="67">
        <v>9</v>
      </c>
      <c r="G299" s="122" t="s">
        <v>65</v>
      </c>
      <c r="H299" s="84">
        <f>168.75-157-0.16-0.16+2</f>
        <v>13.43</v>
      </c>
      <c r="I299" s="84">
        <f t="shared" si="12"/>
        <v>273.97199999999998</v>
      </c>
      <c r="J299" s="59"/>
      <c r="AK299" s="44">
        <f t="shared" si="13"/>
        <v>3.4</v>
      </c>
    </row>
    <row r="300" spans="2:37">
      <c r="B300" s="107">
        <f t="shared" si="14"/>
        <v>292</v>
      </c>
      <c r="C300" s="41" t="s">
        <v>137</v>
      </c>
      <c r="D300" s="81"/>
      <c r="E300" s="81">
        <f>TRUNC(9.33/0.33+1.9)</f>
        <v>30</v>
      </c>
      <c r="F300" s="67">
        <v>3</v>
      </c>
      <c r="G300" s="122" t="s">
        <v>65</v>
      </c>
      <c r="H300" s="84">
        <v>5.66</v>
      </c>
      <c r="I300" s="84">
        <f t="shared" si="12"/>
        <v>63.844800000000006</v>
      </c>
      <c r="J300" s="59"/>
      <c r="AK300" s="44">
        <f t="shared" si="13"/>
        <v>0.376</v>
      </c>
    </row>
    <row r="301" spans="2:37">
      <c r="B301" s="107">
        <f t="shared" si="14"/>
        <v>293</v>
      </c>
      <c r="C301" s="41" t="s">
        <v>138</v>
      </c>
      <c r="D301" s="81"/>
      <c r="E301" s="81">
        <f>TRUNC(9.33/0.33+1.9)</f>
        <v>30</v>
      </c>
      <c r="F301" s="67">
        <v>3</v>
      </c>
      <c r="G301" s="122" t="s">
        <v>65</v>
      </c>
      <c r="H301" s="84">
        <v>1.42</v>
      </c>
      <c r="I301" s="84">
        <f t="shared" si="12"/>
        <v>16.017599999999998</v>
      </c>
      <c r="J301" s="59"/>
      <c r="AK301" s="44">
        <f t="shared" si="13"/>
        <v>0.376</v>
      </c>
    </row>
    <row r="302" spans="2:37">
      <c r="B302" s="107">
        <f t="shared" si="14"/>
        <v>294</v>
      </c>
      <c r="C302" s="38" t="s">
        <v>190</v>
      </c>
      <c r="D302" s="81"/>
      <c r="E302" s="81"/>
      <c r="F302" s="67"/>
      <c r="G302" s="122"/>
      <c r="H302" s="84"/>
      <c r="I302" s="84">
        <f t="shared" si="12"/>
        <v>0</v>
      </c>
      <c r="J302" s="59"/>
      <c r="AK302" s="44">
        <f t="shared" si="13"/>
        <v>0</v>
      </c>
    </row>
    <row r="303" spans="2:37">
      <c r="B303" s="107">
        <f t="shared" si="14"/>
        <v>295</v>
      </c>
      <c r="C303" s="38" t="s">
        <v>157</v>
      </c>
      <c r="D303" s="81"/>
      <c r="E303" s="81"/>
      <c r="F303" s="67"/>
      <c r="G303" s="122"/>
      <c r="H303" s="84"/>
      <c r="I303" s="84">
        <f t="shared" si="12"/>
        <v>0</v>
      </c>
      <c r="J303" s="59"/>
      <c r="AK303" s="44">
        <f t="shared" si="13"/>
        <v>0</v>
      </c>
    </row>
    <row r="304" spans="2:37">
      <c r="B304" s="107">
        <f t="shared" si="14"/>
        <v>296</v>
      </c>
      <c r="C304" s="41" t="s">
        <v>191</v>
      </c>
      <c r="D304" s="81"/>
      <c r="E304" s="81">
        <v>6</v>
      </c>
      <c r="F304" s="67">
        <v>8</v>
      </c>
      <c r="G304" s="122" t="s">
        <v>57</v>
      </c>
      <c r="H304" s="84">
        <f>149-137.4+4.5-0.25-0.16+1</f>
        <v>16.689999999999994</v>
      </c>
      <c r="I304" s="84">
        <f t="shared" si="12"/>
        <v>267.3737999999999</v>
      </c>
      <c r="J304" s="59"/>
      <c r="AK304" s="44">
        <f t="shared" si="13"/>
        <v>2.67</v>
      </c>
    </row>
    <row r="305" spans="2:37">
      <c r="B305" s="107">
        <f t="shared" si="14"/>
        <v>297</v>
      </c>
      <c r="C305" s="41" t="s">
        <v>137</v>
      </c>
      <c r="D305" s="81"/>
      <c r="E305" s="81">
        <f>TRUNC(10.44/0.33+1.9)</f>
        <v>33</v>
      </c>
      <c r="F305" s="67">
        <v>3</v>
      </c>
      <c r="G305" s="122" t="s">
        <v>65</v>
      </c>
      <c r="H305" s="84">
        <v>5.33</v>
      </c>
      <c r="I305" s="84">
        <f t="shared" si="12"/>
        <v>66.134640000000005</v>
      </c>
      <c r="J305" s="59"/>
      <c r="AK305" s="44">
        <f t="shared" si="13"/>
        <v>0.376</v>
      </c>
    </row>
    <row r="306" spans="2:37">
      <c r="B306" s="107">
        <f t="shared" si="14"/>
        <v>298</v>
      </c>
      <c r="C306" s="41" t="s">
        <v>138</v>
      </c>
      <c r="D306" s="81"/>
      <c r="E306" s="81">
        <f>TRUNC(10.44/0.33+1.9)</f>
        <v>33</v>
      </c>
      <c r="F306" s="67">
        <v>3</v>
      </c>
      <c r="G306" s="122" t="s">
        <v>65</v>
      </c>
      <c r="H306" s="84">
        <v>1.25</v>
      </c>
      <c r="I306" s="84">
        <f t="shared" si="12"/>
        <v>15.51</v>
      </c>
      <c r="J306" s="59"/>
      <c r="AK306" s="44">
        <f t="shared" si="13"/>
        <v>0.376</v>
      </c>
    </row>
    <row r="307" spans="2:37">
      <c r="B307" s="107">
        <f t="shared" si="14"/>
        <v>299</v>
      </c>
      <c r="C307" s="38"/>
      <c r="D307" s="81"/>
      <c r="E307" s="81"/>
      <c r="F307" s="67"/>
      <c r="G307" s="122"/>
      <c r="H307" s="84"/>
      <c r="I307" s="84">
        <f t="shared" si="12"/>
        <v>0</v>
      </c>
      <c r="J307" s="59"/>
      <c r="AK307" s="44">
        <f t="shared" si="13"/>
        <v>0</v>
      </c>
    </row>
    <row r="308" spans="2:37">
      <c r="B308" s="107">
        <f t="shared" si="14"/>
        <v>300</v>
      </c>
      <c r="C308" s="41"/>
      <c r="D308" s="81"/>
      <c r="E308" s="81"/>
      <c r="F308" s="67"/>
      <c r="G308" s="122"/>
      <c r="H308" s="84"/>
      <c r="I308" s="84">
        <f t="shared" si="12"/>
        <v>0</v>
      </c>
      <c r="J308" s="59"/>
      <c r="AK308" s="44">
        <f t="shared" si="13"/>
        <v>0</v>
      </c>
    </row>
    <row r="309" spans="2:37">
      <c r="B309" s="107">
        <f t="shared" si="14"/>
        <v>301</v>
      </c>
      <c r="C309" s="38" t="s">
        <v>158</v>
      </c>
      <c r="D309" s="81"/>
      <c r="E309" s="81"/>
      <c r="F309" s="67"/>
      <c r="G309" s="122"/>
      <c r="H309" s="84"/>
      <c r="I309" s="84">
        <f t="shared" si="12"/>
        <v>0</v>
      </c>
      <c r="J309" s="59"/>
      <c r="AK309" s="44">
        <f t="shared" si="13"/>
        <v>0</v>
      </c>
    </row>
    <row r="310" spans="2:37">
      <c r="B310" s="107">
        <f t="shared" si="14"/>
        <v>302</v>
      </c>
      <c r="C310" s="41" t="s">
        <v>191</v>
      </c>
      <c r="D310" s="81"/>
      <c r="E310" s="81">
        <v>6</v>
      </c>
      <c r="F310" s="67">
        <v>8</v>
      </c>
      <c r="G310" s="122" t="s">
        <v>57</v>
      </c>
      <c r="H310" s="84">
        <f>157-149+4.5-0.16*2</f>
        <v>12.18</v>
      </c>
      <c r="I310" s="84">
        <f t="shared" si="12"/>
        <v>195.12360000000001</v>
      </c>
      <c r="J310" s="59"/>
      <c r="AK310" s="44">
        <f t="shared" si="13"/>
        <v>2.67</v>
      </c>
    </row>
    <row r="311" spans="2:37">
      <c r="B311" s="107">
        <f t="shared" si="14"/>
        <v>303</v>
      </c>
      <c r="C311" s="41" t="s">
        <v>137</v>
      </c>
      <c r="D311" s="81"/>
      <c r="E311" s="81">
        <f>TRUNC(5.74/0.33+1.9)</f>
        <v>19</v>
      </c>
      <c r="F311" s="67">
        <v>3</v>
      </c>
      <c r="G311" s="122" t="s">
        <v>65</v>
      </c>
      <c r="H311" s="84">
        <v>5.33</v>
      </c>
      <c r="I311" s="84">
        <f t="shared" si="12"/>
        <v>38.07752</v>
      </c>
      <c r="J311" s="59"/>
      <c r="AK311" s="44">
        <f t="shared" si="13"/>
        <v>0.376</v>
      </c>
    </row>
    <row r="312" spans="2:37">
      <c r="B312" s="107">
        <f t="shared" si="14"/>
        <v>304</v>
      </c>
      <c r="C312" s="41" t="s">
        <v>138</v>
      </c>
      <c r="D312" s="81"/>
      <c r="E312" s="81">
        <f>TRUNC(5.74/0.33+1.9)</f>
        <v>19</v>
      </c>
      <c r="F312" s="67">
        <v>3</v>
      </c>
      <c r="G312" s="122" t="s">
        <v>65</v>
      </c>
      <c r="H312" s="84">
        <v>1.25</v>
      </c>
      <c r="I312" s="84">
        <f t="shared" si="12"/>
        <v>8.93</v>
      </c>
      <c r="J312" s="109"/>
      <c r="AK312" s="44">
        <f t="shared" si="13"/>
        <v>0.376</v>
      </c>
    </row>
    <row r="313" spans="2:37">
      <c r="B313" s="107">
        <f t="shared" si="14"/>
        <v>305</v>
      </c>
      <c r="C313" s="38" t="s">
        <v>159</v>
      </c>
      <c r="D313" s="81"/>
      <c r="E313" s="81"/>
      <c r="F313" s="67"/>
      <c r="G313" s="122"/>
      <c r="H313" s="84"/>
      <c r="I313" s="84">
        <f t="shared" si="12"/>
        <v>0</v>
      </c>
      <c r="J313" s="59"/>
      <c r="AK313" s="44">
        <f t="shared" si="13"/>
        <v>0</v>
      </c>
    </row>
    <row r="314" spans="2:37">
      <c r="B314" s="107">
        <f t="shared" si="14"/>
        <v>306</v>
      </c>
      <c r="C314" s="41" t="s">
        <v>192</v>
      </c>
      <c r="D314" s="81"/>
      <c r="E314" s="81">
        <v>6</v>
      </c>
      <c r="F314" s="67">
        <v>8</v>
      </c>
      <c r="G314" s="122" t="s">
        <v>65</v>
      </c>
      <c r="H314" s="84">
        <f>168.75-157-0.16-0.16+2</f>
        <v>13.43</v>
      </c>
      <c r="I314" s="84">
        <f t="shared" si="12"/>
        <v>215.14859999999999</v>
      </c>
      <c r="J314" s="59"/>
      <c r="AK314" s="44">
        <f t="shared" si="13"/>
        <v>2.67</v>
      </c>
    </row>
    <row r="315" spans="2:37">
      <c r="B315" s="107">
        <f t="shared" si="14"/>
        <v>307</v>
      </c>
      <c r="C315" s="41" t="s">
        <v>137</v>
      </c>
      <c r="D315" s="81"/>
      <c r="E315" s="81">
        <f>TRUNC(9.33/0.33+1.9)</f>
        <v>30</v>
      </c>
      <c r="F315" s="67">
        <v>3</v>
      </c>
      <c r="G315" s="122" t="s">
        <v>65</v>
      </c>
      <c r="H315" s="84">
        <v>5.33</v>
      </c>
      <c r="I315" s="84">
        <f t="shared" si="12"/>
        <v>60.122399999999999</v>
      </c>
      <c r="J315" s="59"/>
      <c r="AK315" s="44">
        <f t="shared" si="13"/>
        <v>0.376</v>
      </c>
    </row>
    <row r="316" spans="2:37">
      <c r="B316" s="107">
        <f t="shared" si="14"/>
        <v>308</v>
      </c>
      <c r="C316" s="41" t="s">
        <v>138</v>
      </c>
      <c r="D316" s="81"/>
      <c r="E316" s="81">
        <f>TRUNC(9.33/0.33+1.9)</f>
        <v>30</v>
      </c>
      <c r="F316" s="67">
        <v>3</v>
      </c>
      <c r="G316" s="122" t="s">
        <v>65</v>
      </c>
      <c r="H316" s="84">
        <v>1.25</v>
      </c>
      <c r="I316" s="84">
        <f t="shared" si="12"/>
        <v>14.1</v>
      </c>
      <c r="J316" s="59"/>
      <c r="AK316" s="44">
        <f t="shared" si="13"/>
        <v>0.376</v>
      </c>
    </row>
    <row r="317" spans="2:37">
      <c r="B317" s="107">
        <f t="shared" si="14"/>
        <v>309</v>
      </c>
      <c r="C317" s="38" t="s">
        <v>193</v>
      </c>
      <c r="D317" s="81"/>
      <c r="E317" s="81"/>
      <c r="F317" s="67"/>
      <c r="G317" s="122"/>
      <c r="H317" s="84"/>
      <c r="I317" s="84">
        <f t="shared" si="12"/>
        <v>0</v>
      </c>
      <c r="J317" s="59"/>
      <c r="AK317" s="44">
        <f t="shared" si="13"/>
        <v>0</v>
      </c>
    </row>
    <row r="318" spans="2:37">
      <c r="B318" s="107">
        <f t="shared" si="14"/>
        <v>310</v>
      </c>
      <c r="C318" s="38" t="s">
        <v>194</v>
      </c>
      <c r="D318" s="81"/>
      <c r="E318" s="81"/>
      <c r="F318" s="67"/>
      <c r="G318" s="122"/>
      <c r="H318" s="84"/>
      <c r="I318" s="84">
        <f t="shared" si="12"/>
        <v>0</v>
      </c>
      <c r="J318" s="59"/>
      <c r="AK318" s="44">
        <f t="shared" si="13"/>
        <v>0</v>
      </c>
    </row>
    <row r="319" spans="2:37">
      <c r="B319" s="107">
        <f t="shared" si="14"/>
        <v>311</v>
      </c>
      <c r="C319" s="41" t="s">
        <v>191</v>
      </c>
      <c r="D319" s="81"/>
      <c r="E319" s="81">
        <v>6</v>
      </c>
      <c r="F319" s="67">
        <v>8</v>
      </c>
      <c r="G319" s="122" t="s">
        <v>57</v>
      </c>
      <c r="H319" s="84">
        <f>147.4-137.6+4.5-0.25-0.16+1</f>
        <v>14.890000000000011</v>
      </c>
      <c r="I319" s="84">
        <f t="shared" si="12"/>
        <v>238.53780000000017</v>
      </c>
      <c r="J319" s="59"/>
      <c r="AK319" s="44">
        <f t="shared" si="13"/>
        <v>2.67</v>
      </c>
    </row>
    <row r="320" spans="2:37">
      <c r="B320" s="107">
        <f t="shared" si="14"/>
        <v>312</v>
      </c>
      <c r="C320" s="41" t="s">
        <v>137</v>
      </c>
      <c r="D320" s="81"/>
      <c r="E320" s="81">
        <f>TRUNC(8.64/0.33+1.9)</f>
        <v>28</v>
      </c>
      <c r="F320" s="67">
        <v>3</v>
      </c>
      <c r="G320" s="122" t="s">
        <v>65</v>
      </c>
      <c r="H320" s="84">
        <v>6.66</v>
      </c>
      <c r="I320" s="84">
        <f t="shared" si="12"/>
        <v>70.11648000000001</v>
      </c>
      <c r="J320" s="59"/>
      <c r="AK320" s="44">
        <f t="shared" si="13"/>
        <v>0.376</v>
      </c>
    </row>
    <row r="321" spans="2:37">
      <c r="B321" s="107">
        <f t="shared" si="14"/>
        <v>313</v>
      </c>
      <c r="C321" s="41" t="s">
        <v>138</v>
      </c>
      <c r="D321" s="81"/>
      <c r="E321" s="81">
        <f>TRUNC(8.64/0.33+1.9)</f>
        <v>28</v>
      </c>
      <c r="F321" s="67">
        <v>3</v>
      </c>
      <c r="G321" s="122" t="s">
        <v>65</v>
      </c>
      <c r="H321" s="84">
        <v>1.92</v>
      </c>
      <c r="I321" s="84">
        <f t="shared" si="12"/>
        <v>20.213760000000001</v>
      </c>
      <c r="J321" s="59"/>
      <c r="AK321" s="44">
        <f t="shared" si="13"/>
        <v>0.376</v>
      </c>
    </row>
    <row r="322" spans="2:37">
      <c r="B322" s="107">
        <f t="shared" si="14"/>
        <v>314</v>
      </c>
      <c r="C322" s="38" t="s">
        <v>195</v>
      </c>
      <c r="D322" s="81"/>
      <c r="E322" s="81"/>
      <c r="F322" s="67"/>
      <c r="G322" s="122"/>
      <c r="H322" s="84"/>
      <c r="I322" s="84">
        <f t="shared" si="12"/>
        <v>0</v>
      </c>
      <c r="J322" s="59"/>
      <c r="AK322" s="44">
        <f t="shared" si="13"/>
        <v>0</v>
      </c>
    </row>
    <row r="323" spans="2:37">
      <c r="B323" s="107">
        <f t="shared" si="14"/>
        <v>315</v>
      </c>
      <c r="C323" s="41" t="s">
        <v>191</v>
      </c>
      <c r="D323" s="81"/>
      <c r="E323" s="81">
        <v>6</v>
      </c>
      <c r="F323" s="67">
        <v>8</v>
      </c>
      <c r="G323" s="122" t="s">
        <v>57</v>
      </c>
      <c r="H323" s="84">
        <f>156.7-147.4+4.5-0.16*2</f>
        <v>13.479999999999983</v>
      </c>
      <c r="I323" s="84">
        <f t="shared" si="12"/>
        <v>215.94959999999975</v>
      </c>
      <c r="J323" s="59"/>
      <c r="AK323" s="44">
        <f t="shared" si="13"/>
        <v>2.67</v>
      </c>
    </row>
    <row r="324" spans="2:37">
      <c r="B324" s="107">
        <f t="shared" si="14"/>
        <v>316</v>
      </c>
      <c r="C324" s="41" t="s">
        <v>137</v>
      </c>
      <c r="D324" s="81"/>
      <c r="E324" s="81">
        <f>TRUNC(7.04/0.33+1.9)</f>
        <v>23</v>
      </c>
      <c r="F324" s="67">
        <v>3</v>
      </c>
      <c r="G324" s="122" t="s">
        <v>65</v>
      </c>
      <c r="H324" s="84">
        <v>6.66</v>
      </c>
      <c r="I324" s="84">
        <f t="shared" si="12"/>
        <v>57.595680000000002</v>
      </c>
      <c r="J324" s="59"/>
      <c r="AK324" s="44">
        <f t="shared" si="13"/>
        <v>0.376</v>
      </c>
    </row>
    <row r="325" spans="2:37">
      <c r="B325" s="107">
        <f t="shared" si="14"/>
        <v>317</v>
      </c>
      <c r="C325" s="41" t="s">
        <v>138</v>
      </c>
      <c r="D325" s="81"/>
      <c r="E325" s="81">
        <f>TRUNC(7.04/0.33+1.9)</f>
        <v>23</v>
      </c>
      <c r="F325" s="67">
        <v>3</v>
      </c>
      <c r="G325" s="122" t="s">
        <v>65</v>
      </c>
      <c r="H325" s="84">
        <v>1.92</v>
      </c>
      <c r="I325" s="84">
        <f t="shared" si="12"/>
        <v>16.60416</v>
      </c>
      <c r="J325" s="59"/>
      <c r="AK325" s="44">
        <f t="shared" si="13"/>
        <v>0.376</v>
      </c>
    </row>
    <row r="326" spans="2:37">
      <c r="B326" s="107">
        <f t="shared" si="14"/>
        <v>318</v>
      </c>
      <c r="C326" s="38" t="s">
        <v>188</v>
      </c>
      <c r="D326" s="81"/>
      <c r="E326" s="81"/>
      <c r="F326" s="67"/>
      <c r="G326" s="122"/>
      <c r="H326" s="84"/>
      <c r="I326" s="84">
        <f t="shared" si="12"/>
        <v>0</v>
      </c>
      <c r="J326" s="59"/>
      <c r="AK326" s="44">
        <f t="shared" si="13"/>
        <v>0</v>
      </c>
    </row>
    <row r="327" spans="2:37">
      <c r="B327" s="107">
        <f t="shared" si="14"/>
        <v>319</v>
      </c>
      <c r="C327" s="41" t="s">
        <v>192</v>
      </c>
      <c r="D327" s="81"/>
      <c r="E327" s="81">
        <v>6</v>
      </c>
      <c r="F327" s="67">
        <v>8</v>
      </c>
      <c r="G327" s="122" t="s">
        <v>65</v>
      </c>
      <c r="H327" s="84">
        <f>168.75-156.7-0.16-0.16+2</f>
        <v>13.730000000000011</v>
      </c>
      <c r="I327" s="84">
        <f t="shared" si="12"/>
        <v>219.9546000000002</v>
      </c>
      <c r="J327" s="59"/>
      <c r="AK327" s="44">
        <f t="shared" si="13"/>
        <v>2.67</v>
      </c>
    </row>
    <row r="328" spans="2:37">
      <c r="B328" s="107">
        <f t="shared" si="14"/>
        <v>320</v>
      </c>
      <c r="C328" s="41" t="s">
        <v>137</v>
      </c>
      <c r="D328" s="81"/>
      <c r="E328" s="81">
        <f>TRUNC(9.63/0.33+1.9)</f>
        <v>31</v>
      </c>
      <c r="F328" s="67">
        <v>3</v>
      </c>
      <c r="G328" s="122" t="s">
        <v>65</v>
      </c>
      <c r="H328" s="84">
        <v>6.66</v>
      </c>
      <c r="I328" s="84">
        <f t="shared" si="12"/>
        <v>77.628960000000006</v>
      </c>
      <c r="J328" s="59"/>
      <c r="AK328" s="44">
        <f t="shared" si="13"/>
        <v>0.376</v>
      </c>
    </row>
    <row r="329" spans="2:37">
      <c r="B329" s="107">
        <f t="shared" si="14"/>
        <v>321</v>
      </c>
      <c r="C329" s="41" t="s">
        <v>138</v>
      </c>
      <c r="D329" s="81"/>
      <c r="E329" s="81">
        <f>TRUNC(9.63/0.33+1.9)</f>
        <v>31</v>
      </c>
      <c r="F329" s="67">
        <v>3</v>
      </c>
      <c r="G329" s="122" t="s">
        <v>65</v>
      </c>
      <c r="H329" s="84">
        <v>1.92</v>
      </c>
      <c r="I329" s="84">
        <f t="shared" ref="I329:I392" si="15">IF(D329="",AK329*H329*E329,AK329*H329*E329*D329)</f>
        <v>22.379519999999999</v>
      </c>
      <c r="J329" s="59"/>
      <c r="AK329" s="44">
        <f t="shared" ref="AK329:AK392" si="16">IF(F329="",0,VLOOKUP(F329,$CI$16:$CJ$38,2,FALSE))</f>
        <v>0.376</v>
      </c>
    </row>
    <row r="330" spans="2:37">
      <c r="B330" s="107">
        <f t="shared" ref="B330:B393" si="17">IF(B329="SL.NO",1,B329+1)</f>
        <v>322</v>
      </c>
      <c r="C330" s="38" t="s">
        <v>196</v>
      </c>
      <c r="D330" s="81"/>
      <c r="E330" s="81"/>
      <c r="F330" s="67"/>
      <c r="G330" s="122"/>
      <c r="H330" s="84"/>
      <c r="I330" s="84">
        <f t="shared" si="15"/>
        <v>0</v>
      </c>
      <c r="J330" s="59"/>
      <c r="AK330" s="44">
        <f t="shared" si="16"/>
        <v>0</v>
      </c>
    </row>
    <row r="331" spans="2:37">
      <c r="B331" s="107">
        <f t="shared" si="17"/>
        <v>323</v>
      </c>
      <c r="C331" s="38" t="s">
        <v>197</v>
      </c>
      <c r="D331" s="81"/>
      <c r="E331" s="81"/>
      <c r="F331" s="67"/>
      <c r="G331" s="122"/>
      <c r="H331" s="84"/>
      <c r="I331" s="84">
        <f t="shared" si="15"/>
        <v>0</v>
      </c>
      <c r="J331" s="59"/>
      <c r="AK331" s="44">
        <f t="shared" si="16"/>
        <v>0</v>
      </c>
    </row>
    <row r="332" spans="2:37">
      <c r="B332" s="107">
        <f t="shared" si="17"/>
        <v>324</v>
      </c>
      <c r="C332" s="41" t="s">
        <v>198</v>
      </c>
      <c r="D332" s="81">
        <v>2</v>
      </c>
      <c r="E332" s="81">
        <v>8</v>
      </c>
      <c r="F332" s="67">
        <v>8</v>
      </c>
      <c r="G332" s="122" t="s">
        <v>57</v>
      </c>
      <c r="H332" s="84">
        <f>147.2-137.4+4.5-0.25-0.16+1</f>
        <v>14.889999999999983</v>
      </c>
      <c r="I332" s="84">
        <f t="shared" si="15"/>
        <v>636.10079999999925</v>
      </c>
      <c r="J332" s="59"/>
      <c r="AK332" s="44">
        <f t="shared" si="16"/>
        <v>2.67</v>
      </c>
    </row>
    <row r="333" spans="2:37">
      <c r="B333" s="107">
        <f t="shared" si="17"/>
        <v>325</v>
      </c>
      <c r="C333" s="41" t="s">
        <v>137</v>
      </c>
      <c r="D333" s="81">
        <v>2</v>
      </c>
      <c r="E333" s="81">
        <f>TRUNC(8.64/0.33+1.9)</f>
        <v>28</v>
      </c>
      <c r="F333" s="67">
        <v>3</v>
      </c>
      <c r="G333" s="122" t="s">
        <v>65</v>
      </c>
      <c r="H333" s="84">
        <v>9.33</v>
      </c>
      <c r="I333" s="84">
        <f t="shared" si="15"/>
        <v>196.45248000000001</v>
      </c>
      <c r="J333" s="59"/>
      <c r="AK333" s="44">
        <f t="shared" si="16"/>
        <v>0.376</v>
      </c>
    </row>
    <row r="334" spans="2:37">
      <c r="B334" s="107">
        <f t="shared" si="17"/>
        <v>326</v>
      </c>
      <c r="C334" s="41" t="s">
        <v>138</v>
      </c>
      <c r="D334" s="81">
        <f>2*2</f>
        <v>4</v>
      </c>
      <c r="E334" s="81">
        <f>TRUNC(8.64/0.33+1.9)</f>
        <v>28</v>
      </c>
      <c r="F334" s="67">
        <v>3</v>
      </c>
      <c r="G334" s="122" t="s">
        <v>65</v>
      </c>
      <c r="H334" s="84">
        <v>1.25</v>
      </c>
      <c r="I334" s="84">
        <f t="shared" si="15"/>
        <v>52.64</v>
      </c>
      <c r="J334" s="59"/>
      <c r="AK334" s="44">
        <f t="shared" si="16"/>
        <v>0.376</v>
      </c>
    </row>
    <row r="335" spans="2:37">
      <c r="B335" s="107">
        <f t="shared" si="17"/>
        <v>327</v>
      </c>
      <c r="C335" s="38" t="s">
        <v>161</v>
      </c>
      <c r="D335" s="81"/>
      <c r="E335" s="81"/>
      <c r="F335" s="67"/>
      <c r="G335" s="122"/>
      <c r="H335" s="84"/>
      <c r="I335" s="84">
        <f t="shared" si="15"/>
        <v>0</v>
      </c>
      <c r="J335" s="59"/>
      <c r="AK335" s="44">
        <f t="shared" si="16"/>
        <v>0</v>
      </c>
    </row>
    <row r="336" spans="2:37">
      <c r="B336" s="107">
        <f t="shared" si="17"/>
        <v>328</v>
      </c>
      <c r="C336" s="41" t="s">
        <v>198</v>
      </c>
      <c r="D336" s="81">
        <v>2</v>
      </c>
      <c r="E336" s="81">
        <v>8</v>
      </c>
      <c r="F336" s="67">
        <v>8</v>
      </c>
      <c r="G336" s="122" t="s">
        <v>57</v>
      </c>
      <c r="H336" s="84">
        <f>156.95-147.2+4.5-0.16*2</f>
        <v>13.93</v>
      </c>
      <c r="I336" s="84">
        <f t="shared" si="15"/>
        <v>595.08960000000002</v>
      </c>
      <c r="J336" s="59"/>
      <c r="AK336" s="44">
        <f t="shared" si="16"/>
        <v>2.67</v>
      </c>
    </row>
    <row r="337" spans="2:37">
      <c r="B337" s="107">
        <f t="shared" si="17"/>
        <v>329</v>
      </c>
      <c r="C337" s="41" t="s">
        <v>137</v>
      </c>
      <c r="D337" s="81">
        <v>2</v>
      </c>
      <c r="E337" s="81">
        <f>TRUNC(7.49/0.33+1.9)</f>
        <v>24</v>
      </c>
      <c r="F337" s="67">
        <v>3</v>
      </c>
      <c r="G337" s="122" t="s">
        <v>65</v>
      </c>
      <c r="H337" s="84">
        <v>9.33</v>
      </c>
      <c r="I337" s="84">
        <f t="shared" si="15"/>
        <v>168.38784000000001</v>
      </c>
      <c r="J337" s="59"/>
      <c r="AK337" s="44">
        <f t="shared" si="16"/>
        <v>0.376</v>
      </c>
    </row>
    <row r="338" spans="2:37">
      <c r="B338" s="107">
        <f t="shared" si="17"/>
        <v>330</v>
      </c>
      <c r="C338" s="41" t="s">
        <v>138</v>
      </c>
      <c r="D338" s="81">
        <f>2*2</f>
        <v>4</v>
      </c>
      <c r="E338" s="81">
        <f>TRUNC(7.49/0.33+1.9)</f>
        <v>24</v>
      </c>
      <c r="F338" s="67">
        <v>3</v>
      </c>
      <c r="G338" s="122" t="s">
        <v>65</v>
      </c>
      <c r="H338" s="84">
        <v>1.25</v>
      </c>
      <c r="I338" s="84">
        <f t="shared" si="15"/>
        <v>45.12</v>
      </c>
      <c r="J338" s="59"/>
      <c r="AK338" s="44">
        <f t="shared" si="16"/>
        <v>0.376</v>
      </c>
    </row>
    <row r="339" spans="2:37">
      <c r="B339" s="107">
        <f t="shared" si="17"/>
        <v>331</v>
      </c>
      <c r="C339" s="38" t="s">
        <v>162</v>
      </c>
      <c r="D339" s="81"/>
      <c r="E339" s="81"/>
      <c r="F339" s="67"/>
      <c r="G339" s="122"/>
      <c r="H339" s="84"/>
      <c r="I339" s="84">
        <f t="shared" si="15"/>
        <v>0</v>
      </c>
      <c r="J339" s="109"/>
      <c r="AK339" s="44">
        <f t="shared" si="16"/>
        <v>0</v>
      </c>
    </row>
    <row r="340" spans="2:37">
      <c r="B340" s="107">
        <f t="shared" si="17"/>
        <v>332</v>
      </c>
      <c r="C340" s="41" t="s">
        <v>199</v>
      </c>
      <c r="D340" s="81">
        <v>2</v>
      </c>
      <c r="E340" s="81">
        <v>8</v>
      </c>
      <c r="F340" s="67">
        <v>8</v>
      </c>
      <c r="G340" s="122" t="s">
        <v>65</v>
      </c>
      <c r="H340" s="84">
        <f>168.75-156.67-0.16-0.16+2</f>
        <v>13.760000000000012</v>
      </c>
      <c r="I340" s="84">
        <f t="shared" si="15"/>
        <v>587.82720000000052</v>
      </c>
      <c r="J340" s="59"/>
      <c r="AK340" s="44">
        <f t="shared" si="16"/>
        <v>2.67</v>
      </c>
    </row>
    <row r="341" spans="2:37">
      <c r="B341" s="107">
        <f t="shared" si="17"/>
        <v>333</v>
      </c>
      <c r="C341" s="41" t="s">
        <v>137</v>
      </c>
      <c r="D341" s="81">
        <v>2</v>
      </c>
      <c r="E341" s="81">
        <f>TRUNC(9.38/0.33+1.9)</f>
        <v>30</v>
      </c>
      <c r="F341" s="67">
        <v>3</v>
      </c>
      <c r="G341" s="122" t="s">
        <v>65</v>
      </c>
      <c r="H341" s="84">
        <v>9.33</v>
      </c>
      <c r="I341" s="84">
        <f t="shared" si="15"/>
        <v>210.48480000000001</v>
      </c>
      <c r="J341" s="59"/>
      <c r="AK341" s="44">
        <f t="shared" si="16"/>
        <v>0.376</v>
      </c>
    </row>
    <row r="342" spans="2:37">
      <c r="B342" s="107">
        <f t="shared" si="17"/>
        <v>334</v>
      </c>
      <c r="C342" s="41" t="s">
        <v>138</v>
      </c>
      <c r="D342" s="81">
        <f>2*2</f>
        <v>4</v>
      </c>
      <c r="E342" s="81">
        <f>TRUNC(9.38/0.33+1.9)</f>
        <v>30</v>
      </c>
      <c r="F342" s="67">
        <v>3</v>
      </c>
      <c r="G342" s="122" t="s">
        <v>65</v>
      </c>
      <c r="H342" s="84">
        <v>1.25</v>
      </c>
      <c r="I342" s="84">
        <f t="shared" si="15"/>
        <v>56.4</v>
      </c>
      <c r="J342" s="59"/>
      <c r="AK342" s="44">
        <f t="shared" si="16"/>
        <v>0.376</v>
      </c>
    </row>
    <row r="343" spans="2:37">
      <c r="B343" s="107">
        <f t="shared" si="17"/>
        <v>335</v>
      </c>
      <c r="C343" s="38" t="s">
        <v>196</v>
      </c>
      <c r="D343" s="81"/>
      <c r="E343" s="81"/>
      <c r="F343" s="67"/>
      <c r="G343" s="122"/>
      <c r="H343" s="84"/>
      <c r="I343" s="84">
        <f t="shared" si="15"/>
        <v>0</v>
      </c>
      <c r="J343" s="59"/>
      <c r="AK343" s="44">
        <f t="shared" si="16"/>
        <v>0</v>
      </c>
    </row>
    <row r="344" spans="2:37">
      <c r="B344" s="107">
        <f t="shared" si="17"/>
        <v>336</v>
      </c>
      <c r="C344" s="38" t="s">
        <v>197</v>
      </c>
      <c r="D344" s="81"/>
      <c r="E344" s="81"/>
      <c r="F344" s="67"/>
      <c r="G344" s="122"/>
      <c r="H344" s="84"/>
      <c r="I344" s="84">
        <f t="shared" si="15"/>
        <v>0</v>
      </c>
      <c r="J344" s="59"/>
      <c r="AK344" s="44">
        <f t="shared" si="16"/>
        <v>0</v>
      </c>
    </row>
    <row r="345" spans="2:37">
      <c r="B345" s="107">
        <f t="shared" si="17"/>
        <v>337</v>
      </c>
      <c r="C345" s="41" t="s">
        <v>198</v>
      </c>
      <c r="D345" s="81">
        <v>2</v>
      </c>
      <c r="E345" s="81">
        <v>8</v>
      </c>
      <c r="F345" s="67">
        <v>8</v>
      </c>
      <c r="G345" s="122" t="s">
        <v>57</v>
      </c>
      <c r="H345" s="84">
        <f>147.2-137.4+4.5-0.25-0.16+1</f>
        <v>14.889999999999983</v>
      </c>
      <c r="I345" s="84">
        <f t="shared" si="15"/>
        <v>636.10079999999925</v>
      </c>
      <c r="J345" s="59"/>
      <c r="AK345" s="44">
        <f t="shared" si="16"/>
        <v>2.67</v>
      </c>
    </row>
    <row r="346" spans="2:37">
      <c r="B346" s="107">
        <f t="shared" si="17"/>
        <v>338</v>
      </c>
      <c r="C346" s="41" t="s">
        <v>137</v>
      </c>
      <c r="D346" s="81">
        <v>2</v>
      </c>
      <c r="E346" s="81">
        <f>TRUNC(8.64/0.33+1.9)</f>
        <v>28</v>
      </c>
      <c r="F346" s="67">
        <v>3</v>
      </c>
      <c r="G346" s="122" t="s">
        <v>65</v>
      </c>
      <c r="H346" s="84">
        <v>9.33</v>
      </c>
      <c r="I346" s="84">
        <f t="shared" si="15"/>
        <v>196.45248000000001</v>
      </c>
      <c r="J346" s="59"/>
      <c r="AK346" s="44">
        <f t="shared" si="16"/>
        <v>0.376</v>
      </c>
    </row>
    <row r="347" spans="2:37">
      <c r="B347" s="107">
        <f t="shared" si="17"/>
        <v>339</v>
      </c>
      <c r="C347" s="41" t="s">
        <v>138</v>
      </c>
      <c r="D347" s="81">
        <f>2*2</f>
        <v>4</v>
      </c>
      <c r="E347" s="81">
        <f>TRUNC(8.64/0.33+1.9)</f>
        <v>28</v>
      </c>
      <c r="F347" s="67">
        <v>3</v>
      </c>
      <c r="G347" s="122" t="s">
        <v>65</v>
      </c>
      <c r="H347" s="84">
        <v>1.25</v>
      </c>
      <c r="I347" s="84">
        <f t="shared" si="15"/>
        <v>52.64</v>
      </c>
      <c r="J347" s="59"/>
      <c r="AK347" s="44">
        <f t="shared" si="16"/>
        <v>0.376</v>
      </c>
    </row>
    <row r="348" spans="2:37">
      <c r="B348" s="107">
        <f t="shared" si="17"/>
        <v>340</v>
      </c>
      <c r="C348" s="38" t="s">
        <v>200</v>
      </c>
      <c r="D348" s="81"/>
      <c r="E348" s="81"/>
      <c r="F348" s="67"/>
      <c r="G348" s="122"/>
      <c r="H348" s="84"/>
      <c r="I348" s="84">
        <f t="shared" si="15"/>
        <v>0</v>
      </c>
      <c r="J348" s="59"/>
      <c r="AK348" s="44">
        <f t="shared" si="16"/>
        <v>0</v>
      </c>
    </row>
    <row r="349" spans="2:37">
      <c r="B349" s="107">
        <f t="shared" si="17"/>
        <v>341</v>
      </c>
      <c r="C349" s="41" t="s">
        <v>198</v>
      </c>
      <c r="D349" s="81">
        <v>2</v>
      </c>
      <c r="E349" s="81">
        <v>8</v>
      </c>
      <c r="F349" s="67">
        <v>8</v>
      </c>
      <c r="G349" s="122" t="s">
        <v>57</v>
      </c>
      <c r="H349" s="84">
        <f>156.95-147.2+4.5-0.16*2</f>
        <v>13.93</v>
      </c>
      <c r="I349" s="84">
        <f t="shared" si="15"/>
        <v>595.08960000000002</v>
      </c>
      <c r="J349" s="59"/>
      <c r="AK349" s="44">
        <f t="shared" si="16"/>
        <v>2.67</v>
      </c>
    </row>
    <row r="350" spans="2:37">
      <c r="B350" s="107">
        <f t="shared" si="17"/>
        <v>342</v>
      </c>
      <c r="C350" s="41" t="s">
        <v>137</v>
      </c>
      <c r="D350" s="81">
        <v>2</v>
      </c>
      <c r="E350" s="81">
        <f>TRUNC(7.49/0.33+1.9)</f>
        <v>24</v>
      </c>
      <c r="F350" s="67">
        <v>3</v>
      </c>
      <c r="G350" s="122" t="s">
        <v>65</v>
      </c>
      <c r="H350" s="84">
        <v>9.33</v>
      </c>
      <c r="I350" s="84">
        <f t="shared" si="15"/>
        <v>168.38784000000001</v>
      </c>
      <c r="J350" s="59"/>
      <c r="AK350" s="44">
        <f t="shared" si="16"/>
        <v>0.376</v>
      </c>
    </row>
    <row r="351" spans="2:37">
      <c r="B351" s="107">
        <f t="shared" si="17"/>
        <v>343</v>
      </c>
      <c r="C351" s="41" t="s">
        <v>138</v>
      </c>
      <c r="D351" s="81">
        <f>2*2</f>
        <v>4</v>
      </c>
      <c r="E351" s="81">
        <f>TRUNC(7.49/0.33+1.9)</f>
        <v>24</v>
      </c>
      <c r="F351" s="67">
        <v>3</v>
      </c>
      <c r="G351" s="122" t="s">
        <v>65</v>
      </c>
      <c r="H351" s="84">
        <v>1.25</v>
      </c>
      <c r="I351" s="84">
        <f t="shared" si="15"/>
        <v>45.12</v>
      </c>
      <c r="J351" s="59"/>
      <c r="AK351" s="44">
        <f t="shared" si="16"/>
        <v>0.376</v>
      </c>
    </row>
    <row r="352" spans="2:37">
      <c r="B352" s="107">
        <f t="shared" si="17"/>
        <v>344</v>
      </c>
      <c r="C352" s="38" t="s">
        <v>162</v>
      </c>
      <c r="D352" s="81"/>
      <c r="E352" s="81"/>
      <c r="F352" s="67"/>
      <c r="G352" s="122"/>
      <c r="H352" s="84"/>
      <c r="I352" s="84">
        <f t="shared" si="15"/>
        <v>0</v>
      </c>
      <c r="J352" s="59"/>
      <c r="AK352" s="44">
        <f t="shared" si="16"/>
        <v>0</v>
      </c>
    </row>
    <row r="353" spans="2:37">
      <c r="B353" s="107">
        <f t="shared" si="17"/>
        <v>345</v>
      </c>
      <c r="C353" s="41" t="s">
        <v>199</v>
      </c>
      <c r="D353" s="81">
        <v>2</v>
      </c>
      <c r="E353" s="81">
        <v>8</v>
      </c>
      <c r="F353" s="67">
        <v>8</v>
      </c>
      <c r="G353" s="122" t="s">
        <v>65</v>
      </c>
      <c r="H353" s="84">
        <f>168.75-156.95-0.16-0.16+2</f>
        <v>13.480000000000011</v>
      </c>
      <c r="I353" s="84">
        <f t="shared" si="15"/>
        <v>575.86560000000043</v>
      </c>
      <c r="J353" s="59"/>
      <c r="AK353" s="44">
        <f t="shared" si="16"/>
        <v>2.67</v>
      </c>
    </row>
    <row r="354" spans="2:37">
      <c r="B354" s="107">
        <f t="shared" si="17"/>
        <v>346</v>
      </c>
      <c r="C354" s="41" t="s">
        <v>137</v>
      </c>
      <c r="D354" s="81">
        <v>2</v>
      </c>
      <c r="E354" s="81">
        <f>TRUNC(9.38/0.33+1.9)</f>
        <v>30</v>
      </c>
      <c r="F354" s="67">
        <v>3</v>
      </c>
      <c r="G354" s="122" t="s">
        <v>65</v>
      </c>
      <c r="H354" s="84">
        <v>9.33</v>
      </c>
      <c r="I354" s="84">
        <f t="shared" si="15"/>
        <v>210.48480000000001</v>
      </c>
      <c r="J354" s="59"/>
      <c r="AK354" s="44">
        <f t="shared" si="16"/>
        <v>0.376</v>
      </c>
    </row>
    <row r="355" spans="2:37">
      <c r="B355" s="107">
        <f t="shared" si="17"/>
        <v>347</v>
      </c>
      <c r="C355" s="41" t="s">
        <v>138</v>
      </c>
      <c r="D355" s="81">
        <f>2*2</f>
        <v>4</v>
      </c>
      <c r="E355" s="81">
        <f>TRUNC(9.38/0.33+1.9)</f>
        <v>30</v>
      </c>
      <c r="F355" s="67">
        <v>3</v>
      </c>
      <c r="G355" s="122" t="s">
        <v>65</v>
      </c>
      <c r="H355" s="84">
        <v>1.25</v>
      </c>
      <c r="I355" s="84">
        <f t="shared" si="15"/>
        <v>56.4</v>
      </c>
      <c r="J355" s="59"/>
      <c r="AK355" s="44">
        <f t="shared" si="16"/>
        <v>0.376</v>
      </c>
    </row>
    <row r="356" spans="2:37">
      <c r="B356" s="107">
        <f t="shared" si="17"/>
        <v>348</v>
      </c>
      <c r="C356" s="38" t="s">
        <v>196</v>
      </c>
      <c r="D356" s="81"/>
      <c r="E356" s="81"/>
      <c r="F356" s="67"/>
      <c r="G356" s="122"/>
      <c r="H356" s="84"/>
      <c r="I356" s="84">
        <f t="shared" si="15"/>
        <v>0</v>
      </c>
      <c r="J356" s="59"/>
      <c r="AK356" s="44">
        <f t="shared" si="16"/>
        <v>0</v>
      </c>
    </row>
    <row r="357" spans="2:37">
      <c r="B357" s="107">
        <f t="shared" si="17"/>
        <v>349</v>
      </c>
      <c r="C357" s="38" t="s">
        <v>174</v>
      </c>
      <c r="D357" s="81"/>
      <c r="E357" s="81"/>
      <c r="F357" s="67"/>
      <c r="G357" s="122"/>
      <c r="H357" s="84"/>
      <c r="I357" s="84">
        <f t="shared" si="15"/>
        <v>0</v>
      </c>
      <c r="J357" s="59"/>
      <c r="AK357" s="44">
        <f t="shared" si="16"/>
        <v>0</v>
      </c>
    </row>
    <row r="358" spans="2:37">
      <c r="B358" s="107">
        <f t="shared" si="17"/>
        <v>350</v>
      </c>
      <c r="C358" s="41" t="s">
        <v>198</v>
      </c>
      <c r="D358" s="81">
        <v>2</v>
      </c>
      <c r="E358" s="81">
        <v>8</v>
      </c>
      <c r="F358" s="67">
        <v>8</v>
      </c>
      <c r="G358" s="122" t="s">
        <v>57</v>
      </c>
      <c r="H358" s="84">
        <f>142.4-132.6+4.5-0.25-0.16+1</f>
        <v>14.890000000000011</v>
      </c>
      <c r="I358" s="84">
        <f t="shared" si="15"/>
        <v>636.1008000000005</v>
      </c>
      <c r="J358" s="59"/>
      <c r="AK358" s="44">
        <f t="shared" si="16"/>
        <v>2.67</v>
      </c>
    </row>
    <row r="359" spans="2:37">
      <c r="B359" s="107">
        <f t="shared" si="17"/>
        <v>351</v>
      </c>
      <c r="C359" s="41" t="s">
        <v>137</v>
      </c>
      <c r="D359" s="81">
        <v>2</v>
      </c>
      <c r="E359" s="81">
        <f>TRUNC(8.64/0.33+1.9)</f>
        <v>28</v>
      </c>
      <c r="F359" s="67">
        <v>3</v>
      </c>
      <c r="G359" s="122" t="s">
        <v>65</v>
      </c>
      <c r="H359" s="84">
        <v>9.33</v>
      </c>
      <c r="I359" s="84">
        <f t="shared" si="15"/>
        <v>196.45248000000001</v>
      </c>
      <c r="J359" s="59"/>
      <c r="AK359" s="44">
        <f t="shared" si="16"/>
        <v>0.376</v>
      </c>
    </row>
    <row r="360" spans="2:37">
      <c r="B360" s="107">
        <f t="shared" si="17"/>
        <v>352</v>
      </c>
      <c r="C360" s="41" t="s">
        <v>138</v>
      </c>
      <c r="D360" s="81">
        <f>2*2</f>
        <v>4</v>
      </c>
      <c r="E360" s="81">
        <f>TRUNC(8.64/0.33+1.9)</f>
        <v>28</v>
      </c>
      <c r="F360" s="67">
        <v>3</v>
      </c>
      <c r="G360" s="122" t="s">
        <v>65</v>
      </c>
      <c r="H360" s="84">
        <v>1.25</v>
      </c>
      <c r="I360" s="84">
        <f t="shared" si="15"/>
        <v>52.64</v>
      </c>
      <c r="J360" s="59"/>
      <c r="AK360" s="44">
        <f t="shared" si="16"/>
        <v>0.376</v>
      </c>
    </row>
    <row r="361" spans="2:37">
      <c r="B361" s="107">
        <f t="shared" si="17"/>
        <v>353</v>
      </c>
      <c r="C361" s="38" t="s">
        <v>201</v>
      </c>
      <c r="D361" s="81"/>
      <c r="E361" s="81"/>
      <c r="F361" s="67"/>
      <c r="G361" s="122"/>
      <c r="H361" s="84"/>
      <c r="I361" s="84">
        <f t="shared" si="15"/>
        <v>0</v>
      </c>
      <c r="J361" s="59"/>
      <c r="AK361" s="44">
        <f t="shared" si="16"/>
        <v>0</v>
      </c>
    </row>
    <row r="362" spans="2:37">
      <c r="B362" s="107">
        <f t="shared" si="17"/>
        <v>354</v>
      </c>
      <c r="C362" s="41" t="s">
        <v>198</v>
      </c>
      <c r="D362" s="81">
        <v>2</v>
      </c>
      <c r="E362" s="81">
        <v>8</v>
      </c>
      <c r="F362" s="67">
        <v>8</v>
      </c>
      <c r="G362" s="122" t="s">
        <v>57</v>
      </c>
      <c r="H362" s="84">
        <f>157.36-142.4+4.5-0.16*2</f>
        <v>19.140000000000008</v>
      </c>
      <c r="I362" s="84">
        <f t="shared" si="15"/>
        <v>817.66080000000034</v>
      </c>
      <c r="J362" s="59"/>
      <c r="AK362" s="44">
        <f t="shared" si="16"/>
        <v>2.67</v>
      </c>
    </row>
    <row r="363" spans="2:37">
      <c r="B363" s="107">
        <f t="shared" si="17"/>
        <v>355</v>
      </c>
      <c r="C363" s="41" t="s">
        <v>137</v>
      </c>
      <c r="D363" s="81">
        <v>2</v>
      </c>
      <c r="E363" s="81">
        <f>TRUNC(12.7/0.33+1.9)</f>
        <v>40</v>
      </c>
      <c r="F363" s="67">
        <v>3</v>
      </c>
      <c r="G363" s="122" t="s">
        <v>65</v>
      </c>
      <c r="H363" s="84">
        <v>9.33</v>
      </c>
      <c r="I363" s="84">
        <f t="shared" si="15"/>
        <v>280.64640000000003</v>
      </c>
      <c r="J363" s="59"/>
      <c r="AK363" s="44">
        <f t="shared" si="16"/>
        <v>0.376</v>
      </c>
    </row>
    <row r="364" spans="2:37">
      <c r="B364" s="107">
        <f t="shared" si="17"/>
        <v>356</v>
      </c>
      <c r="C364" s="41" t="s">
        <v>138</v>
      </c>
      <c r="D364" s="81">
        <f>2*2</f>
        <v>4</v>
      </c>
      <c r="E364" s="81">
        <f>TRUNC(12.7/0.33+1.9)</f>
        <v>40</v>
      </c>
      <c r="F364" s="67">
        <v>3</v>
      </c>
      <c r="G364" s="122" t="s">
        <v>65</v>
      </c>
      <c r="H364" s="84">
        <v>1.25</v>
      </c>
      <c r="I364" s="84">
        <f t="shared" si="15"/>
        <v>75.199999999999989</v>
      </c>
      <c r="J364" s="59"/>
      <c r="AK364" s="44">
        <f t="shared" si="16"/>
        <v>0.376</v>
      </c>
    </row>
    <row r="365" spans="2:37">
      <c r="B365" s="107">
        <f t="shared" si="17"/>
        <v>357</v>
      </c>
      <c r="C365" s="38" t="s">
        <v>202</v>
      </c>
      <c r="D365" s="81"/>
      <c r="E365" s="81"/>
      <c r="F365" s="67"/>
      <c r="G365" s="122"/>
      <c r="H365" s="84"/>
      <c r="I365" s="84">
        <f t="shared" si="15"/>
        <v>0</v>
      </c>
      <c r="J365" s="59"/>
      <c r="AK365" s="44">
        <f t="shared" si="16"/>
        <v>0</v>
      </c>
    </row>
    <row r="366" spans="2:37">
      <c r="B366" s="107">
        <f t="shared" si="17"/>
        <v>358</v>
      </c>
      <c r="C366" s="41" t="s">
        <v>199</v>
      </c>
      <c r="D366" s="81">
        <v>2</v>
      </c>
      <c r="E366" s="81">
        <v>8</v>
      </c>
      <c r="F366" s="67">
        <v>8</v>
      </c>
      <c r="G366" s="122" t="s">
        <v>65</v>
      </c>
      <c r="H366" s="84">
        <f>168.75-157.36-0.16-0.16+2</f>
        <v>13.069999999999986</v>
      </c>
      <c r="I366" s="84">
        <f t="shared" si="15"/>
        <v>558.35039999999935</v>
      </c>
      <c r="J366" s="59"/>
      <c r="AK366" s="44">
        <f t="shared" si="16"/>
        <v>2.67</v>
      </c>
    </row>
    <row r="367" spans="2:37">
      <c r="B367" s="107">
        <f t="shared" si="17"/>
        <v>359</v>
      </c>
      <c r="C367" s="41" t="s">
        <v>137</v>
      </c>
      <c r="D367" s="81">
        <v>2</v>
      </c>
      <c r="E367" s="81">
        <f>TRUNC(8.92/0.33+1.9)</f>
        <v>28</v>
      </c>
      <c r="F367" s="67">
        <v>3</v>
      </c>
      <c r="G367" s="122" t="s">
        <v>65</v>
      </c>
      <c r="H367" s="84">
        <v>9.33</v>
      </c>
      <c r="I367" s="84">
        <f t="shared" si="15"/>
        <v>196.45248000000001</v>
      </c>
      <c r="J367" s="109"/>
      <c r="AK367" s="44">
        <f t="shared" si="16"/>
        <v>0.376</v>
      </c>
    </row>
    <row r="368" spans="2:37">
      <c r="B368" s="107">
        <f t="shared" si="17"/>
        <v>360</v>
      </c>
      <c r="C368" s="41" t="s">
        <v>138</v>
      </c>
      <c r="D368" s="81">
        <f>2*2</f>
        <v>4</v>
      </c>
      <c r="E368" s="81">
        <f>TRUNC(8.92/0.33+1.9)</f>
        <v>28</v>
      </c>
      <c r="F368" s="67">
        <v>3</v>
      </c>
      <c r="G368" s="122" t="s">
        <v>65</v>
      </c>
      <c r="H368" s="84">
        <v>1.25</v>
      </c>
      <c r="I368" s="84">
        <f t="shared" si="15"/>
        <v>52.64</v>
      </c>
      <c r="J368" s="59"/>
      <c r="AK368" s="44">
        <f t="shared" si="16"/>
        <v>0.376</v>
      </c>
    </row>
    <row r="369" spans="2:37">
      <c r="B369" s="107">
        <f t="shared" si="17"/>
        <v>361</v>
      </c>
      <c r="C369" s="38" t="s">
        <v>196</v>
      </c>
      <c r="D369" s="81"/>
      <c r="E369" s="81"/>
      <c r="F369" s="67"/>
      <c r="G369" s="122"/>
      <c r="H369" s="84"/>
      <c r="I369" s="84">
        <f t="shared" si="15"/>
        <v>0</v>
      </c>
      <c r="J369" s="59"/>
      <c r="AK369" s="44">
        <f t="shared" si="16"/>
        <v>0</v>
      </c>
    </row>
    <row r="370" spans="2:37">
      <c r="B370" s="107">
        <f t="shared" si="17"/>
        <v>362</v>
      </c>
      <c r="C370" s="38" t="s">
        <v>174</v>
      </c>
      <c r="D370" s="81"/>
      <c r="E370" s="81"/>
      <c r="F370" s="67"/>
      <c r="G370" s="122"/>
      <c r="H370" s="84"/>
      <c r="I370" s="84">
        <f t="shared" si="15"/>
        <v>0</v>
      </c>
      <c r="J370" s="59"/>
      <c r="AK370" s="44">
        <f t="shared" si="16"/>
        <v>0</v>
      </c>
    </row>
    <row r="371" spans="2:37">
      <c r="B371" s="107">
        <f t="shared" si="17"/>
        <v>363</v>
      </c>
      <c r="C371" s="41" t="s">
        <v>198</v>
      </c>
      <c r="D371" s="81">
        <v>2</v>
      </c>
      <c r="E371" s="81">
        <v>8</v>
      </c>
      <c r="F371" s="67">
        <v>8</v>
      </c>
      <c r="G371" s="122" t="s">
        <v>57</v>
      </c>
      <c r="H371" s="84">
        <f>142.4-132.6+4.5-0.25-0.16+1</f>
        <v>14.890000000000011</v>
      </c>
      <c r="I371" s="84">
        <f t="shared" si="15"/>
        <v>636.1008000000005</v>
      </c>
      <c r="J371" s="59"/>
      <c r="AK371" s="44">
        <f t="shared" si="16"/>
        <v>2.67</v>
      </c>
    </row>
    <row r="372" spans="2:37">
      <c r="B372" s="107">
        <f t="shared" si="17"/>
        <v>364</v>
      </c>
      <c r="C372" s="41" t="s">
        <v>137</v>
      </c>
      <c r="D372" s="81">
        <v>2</v>
      </c>
      <c r="E372" s="81">
        <f>TRUNC(8.64/0.33+1.9)</f>
        <v>28</v>
      </c>
      <c r="F372" s="67">
        <v>3</v>
      </c>
      <c r="G372" s="122" t="s">
        <v>65</v>
      </c>
      <c r="H372" s="84">
        <v>9.33</v>
      </c>
      <c r="I372" s="84">
        <f t="shared" si="15"/>
        <v>196.45248000000001</v>
      </c>
      <c r="J372" s="59"/>
      <c r="AK372" s="44">
        <f t="shared" si="16"/>
        <v>0.376</v>
      </c>
    </row>
    <row r="373" spans="2:37">
      <c r="B373" s="107">
        <f t="shared" si="17"/>
        <v>365</v>
      </c>
      <c r="C373" s="41" t="s">
        <v>138</v>
      </c>
      <c r="D373" s="81">
        <f>2*2</f>
        <v>4</v>
      </c>
      <c r="E373" s="81">
        <f>TRUNC(8.64/0.33+1.9)</f>
        <v>28</v>
      </c>
      <c r="F373" s="67">
        <v>3</v>
      </c>
      <c r="G373" s="122" t="s">
        <v>65</v>
      </c>
      <c r="H373" s="84">
        <v>1.25</v>
      </c>
      <c r="I373" s="84">
        <f t="shared" si="15"/>
        <v>52.64</v>
      </c>
      <c r="J373" s="59"/>
      <c r="AK373" s="44">
        <f t="shared" si="16"/>
        <v>0.376</v>
      </c>
    </row>
    <row r="374" spans="2:37">
      <c r="B374" s="107">
        <f t="shared" si="17"/>
        <v>366</v>
      </c>
      <c r="C374" s="38" t="s">
        <v>203</v>
      </c>
      <c r="D374" s="81"/>
      <c r="E374" s="81"/>
      <c r="F374" s="67"/>
      <c r="G374" s="122"/>
      <c r="H374" s="84"/>
      <c r="I374" s="84">
        <f t="shared" si="15"/>
        <v>0</v>
      </c>
      <c r="J374" s="59"/>
      <c r="AK374" s="44">
        <f t="shared" si="16"/>
        <v>0</v>
      </c>
    </row>
    <row r="375" spans="2:37">
      <c r="B375" s="107">
        <f t="shared" si="17"/>
        <v>367</v>
      </c>
      <c r="C375" s="41" t="s">
        <v>198</v>
      </c>
      <c r="D375" s="81">
        <v>2</v>
      </c>
      <c r="E375" s="81">
        <v>8</v>
      </c>
      <c r="F375" s="67">
        <v>8</v>
      </c>
      <c r="G375" s="122" t="s">
        <v>57</v>
      </c>
      <c r="H375" s="84">
        <f>157.76-142.4+4.5-0.16*2</f>
        <v>19.539999999999985</v>
      </c>
      <c r="I375" s="84">
        <f t="shared" si="15"/>
        <v>834.74879999999928</v>
      </c>
      <c r="J375" s="59"/>
      <c r="AK375" s="44">
        <f t="shared" si="16"/>
        <v>2.67</v>
      </c>
    </row>
    <row r="376" spans="2:37">
      <c r="B376" s="107">
        <f t="shared" si="17"/>
        <v>368</v>
      </c>
      <c r="C376" s="41" t="s">
        <v>137</v>
      </c>
      <c r="D376" s="81">
        <v>2</v>
      </c>
      <c r="E376" s="81">
        <f>TRUNC(13.1/0.33+1.9)</f>
        <v>41</v>
      </c>
      <c r="F376" s="67">
        <v>3</v>
      </c>
      <c r="G376" s="122" t="s">
        <v>65</v>
      </c>
      <c r="H376" s="84">
        <v>9.33</v>
      </c>
      <c r="I376" s="84">
        <f t="shared" si="15"/>
        <v>287.66255999999998</v>
      </c>
      <c r="J376" s="59"/>
      <c r="AK376" s="44">
        <f t="shared" si="16"/>
        <v>0.376</v>
      </c>
    </row>
    <row r="377" spans="2:37">
      <c r="B377" s="107">
        <f t="shared" si="17"/>
        <v>369</v>
      </c>
      <c r="C377" s="41" t="s">
        <v>138</v>
      </c>
      <c r="D377" s="81">
        <f>2*2</f>
        <v>4</v>
      </c>
      <c r="E377" s="81">
        <f>TRUNC(13.1/0.33+1.9)</f>
        <v>41</v>
      </c>
      <c r="F377" s="67">
        <v>3</v>
      </c>
      <c r="G377" s="122" t="s">
        <v>65</v>
      </c>
      <c r="H377" s="84">
        <v>1.25</v>
      </c>
      <c r="I377" s="84">
        <f t="shared" si="15"/>
        <v>77.08</v>
      </c>
      <c r="J377" s="59"/>
      <c r="AK377" s="44">
        <f t="shared" si="16"/>
        <v>0.376</v>
      </c>
    </row>
    <row r="378" spans="2:37">
      <c r="B378" s="107">
        <f t="shared" si="17"/>
        <v>370</v>
      </c>
      <c r="C378" s="38" t="s">
        <v>204</v>
      </c>
      <c r="D378" s="81"/>
      <c r="E378" s="81"/>
      <c r="F378" s="67"/>
      <c r="G378" s="122"/>
      <c r="H378" s="84"/>
      <c r="I378" s="84">
        <f t="shared" si="15"/>
        <v>0</v>
      </c>
      <c r="J378" s="59"/>
      <c r="AK378" s="44">
        <f t="shared" si="16"/>
        <v>0</v>
      </c>
    </row>
    <row r="379" spans="2:37">
      <c r="B379" s="107">
        <f t="shared" si="17"/>
        <v>371</v>
      </c>
      <c r="C379" s="41" t="s">
        <v>199</v>
      </c>
      <c r="D379" s="81">
        <v>2</v>
      </c>
      <c r="E379" s="81">
        <v>8</v>
      </c>
      <c r="F379" s="67">
        <v>8</v>
      </c>
      <c r="G379" s="122" t="s">
        <v>65</v>
      </c>
      <c r="H379" s="84">
        <f>168.75-157.76-0.16-0.16+2</f>
        <v>12.670000000000009</v>
      </c>
      <c r="I379" s="84">
        <f t="shared" si="15"/>
        <v>541.26240000000041</v>
      </c>
      <c r="J379" s="59"/>
      <c r="AK379" s="44">
        <f t="shared" si="16"/>
        <v>2.67</v>
      </c>
    </row>
    <row r="380" spans="2:37">
      <c r="B380" s="107">
        <f t="shared" si="17"/>
        <v>372</v>
      </c>
      <c r="C380" s="41" t="s">
        <v>137</v>
      </c>
      <c r="D380" s="81">
        <v>2</v>
      </c>
      <c r="E380" s="81">
        <f>TRUNC(8.4/0.33+1.9)</f>
        <v>27</v>
      </c>
      <c r="F380" s="67">
        <v>3</v>
      </c>
      <c r="G380" s="122" t="s">
        <v>65</v>
      </c>
      <c r="H380" s="84">
        <v>9.33</v>
      </c>
      <c r="I380" s="84">
        <f t="shared" si="15"/>
        <v>189.43631999999999</v>
      </c>
      <c r="J380" s="59"/>
      <c r="AK380" s="44">
        <f t="shared" si="16"/>
        <v>0.376</v>
      </c>
    </row>
    <row r="381" spans="2:37">
      <c r="B381" s="107">
        <f t="shared" si="17"/>
        <v>373</v>
      </c>
      <c r="C381" s="41" t="s">
        <v>138</v>
      </c>
      <c r="D381" s="81">
        <f>2*2</f>
        <v>4</v>
      </c>
      <c r="E381" s="81">
        <f>TRUNC(8.4/0.33+1.9)</f>
        <v>27</v>
      </c>
      <c r="F381" s="67">
        <v>3</v>
      </c>
      <c r="G381" s="122" t="s">
        <v>65</v>
      </c>
      <c r="H381" s="84">
        <v>1.25</v>
      </c>
      <c r="I381" s="84">
        <f t="shared" si="15"/>
        <v>50.76</v>
      </c>
      <c r="J381" s="59"/>
      <c r="AK381" s="44">
        <f t="shared" si="16"/>
        <v>0.376</v>
      </c>
    </row>
    <row r="382" spans="2:37">
      <c r="B382" s="107">
        <f t="shared" si="17"/>
        <v>374</v>
      </c>
      <c r="C382" s="38"/>
      <c r="D382" s="81"/>
      <c r="E382" s="81"/>
      <c r="F382" s="67"/>
      <c r="G382" s="52"/>
      <c r="H382" s="84"/>
      <c r="I382" s="84">
        <f t="shared" si="15"/>
        <v>0</v>
      </c>
      <c r="J382" s="59"/>
      <c r="AK382" s="44">
        <f t="shared" si="16"/>
        <v>0</v>
      </c>
    </row>
    <row r="383" spans="2:37">
      <c r="B383" s="107">
        <f t="shared" si="17"/>
        <v>375</v>
      </c>
      <c r="C383" s="38"/>
      <c r="D383" s="81"/>
      <c r="E383" s="81"/>
      <c r="F383" s="67"/>
      <c r="G383" s="52"/>
      <c r="H383" s="84"/>
      <c r="I383" s="84">
        <f t="shared" si="15"/>
        <v>0</v>
      </c>
      <c r="J383" s="59"/>
      <c r="AK383" s="44">
        <f t="shared" si="16"/>
        <v>0</v>
      </c>
    </row>
    <row r="384" spans="2:37">
      <c r="B384" s="107">
        <f t="shared" si="17"/>
        <v>376</v>
      </c>
      <c r="C384" s="41"/>
      <c r="D384" s="81"/>
      <c r="E384" s="81"/>
      <c r="F384" s="67"/>
      <c r="G384" s="52"/>
      <c r="H384" s="84"/>
      <c r="I384" s="84">
        <f t="shared" si="15"/>
        <v>0</v>
      </c>
      <c r="J384" s="59"/>
      <c r="AK384" s="44">
        <f t="shared" si="16"/>
        <v>0</v>
      </c>
    </row>
    <row r="385" spans="2:37">
      <c r="B385" s="107">
        <f t="shared" si="17"/>
        <v>377</v>
      </c>
      <c r="C385" s="41"/>
      <c r="D385" s="81"/>
      <c r="E385" s="81"/>
      <c r="F385" s="67"/>
      <c r="G385" s="52"/>
      <c r="H385" s="84"/>
      <c r="I385" s="84">
        <f t="shared" si="15"/>
        <v>0</v>
      </c>
      <c r="J385" s="59"/>
      <c r="AK385" s="44">
        <f t="shared" si="16"/>
        <v>0</v>
      </c>
    </row>
    <row r="386" spans="2:37">
      <c r="B386" s="107">
        <f t="shared" si="17"/>
        <v>378</v>
      </c>
      <c r="C386" s="41"/>
      <c r="D386" s="81"/>
      <c r="E386" s="81"/>
      <c r="F386" s="67"/>
      <c r="G386" s="52"/>
      <c r="H386" s="84"/>
      <c r="I386" s="84">
        <f t="shared" si="15"/>
        <v>0</v>
      </c>
      <c r="J386" s="59"/>
      <c r="AK386" s="44">
        <f t="shared" si="16"/>
        <v>0</v>
      </c>
    </row>
    <row r="387" spans="2:37">
      <c r="B387" s="107">
        <f t="shared" si="17"/>
        <v>379</v>
      </c>
      <c r="C387" s="38"/>
      <c r="D387" s="81"/>
      <c r="E387" s="81"/>
      <c r="F387" s="67"/>
      <c r="G387" s="52"/>
      <c r="H387" s="84"/>
      <c r="I387" s="84">
        <f t="shared" si="15"/>
        <v>0</v>
      </c>
      <c r="J387" s="59"/>
      <c r="AK387" s="44">
        <f t="shared" si="16"/>
        <v>0</v>
      </c>
    </row>
    <row r="388" spans="2:37">
      <c r="B388" s="107">
        <f t="shared" si="17"/>
        <v>380</v>
      </c>
      <c r="C388" s="41"/>
      <c r="D388" s="81"/>
      <c r="E388" s="81"/>
      <c r="F388" s="67"/>
      <c r="G388" s="52"/>
      <c r="H388" s="84"/>
      <c r="I388" s="84">
        <f t="shared" si="15"/>
        <v>0</v>
      </c>
      <c r="J388" s="59"/>
      <c r="AK388" s="44">
        <f t="shared" si="16"/>
        <v>0</v>
      </c>
    </row>
    <row r="389" spans="2:37">
      <c r="B389" s="107">
        <f t="shared" si="17"/>
        <v>381</v>
      </c>
      <c r="C389" s="41"/>
      <c r="D389" s="81"/>
      <c r="E389" s="81"/>
      <c r="F389" s="67"/>
      <c r="G389" s="52"/>
      <c r="H389" s="84"/>
      <c r="I389" s="84">
        <f t="shared" si="15"/>
        <v>0</v>
      </c>
      <c r="J389" s="59"/>
      <c r="AK389" s="44">
        <f t="shared" si="16"/>
        <v>0</v>
      </c>
    </row>
    <row r="390" spans="2:37">
      <c r="B390" s="107">
        <f t="shared" si="17"/>
        <v>382</v>
      </c>
      <c r="C390" s="41"/>
      <c r="D390" s="81"/>
      <c r="E390" s="81"/>
      <c r="F390" s="67"/>
      <c r="G390" s="52"/>
      <c r="H390" s="84"/>
      <c r="I390" s="84">
        <f t="shared" si="15"/>
        <v>0</v>
      </c>
      <c r="J390" s="59"/>
      <c r="AK390" s="44">
        <f t="shared" si="16"/>
        <v>0</v>
      </c>
    </row>
    <row r="391" spans="2:37">
      <c r="B391" s="107">
        <f t="shared" si="17"/>
        <v>383</v>
      </c>
      <c r="C391" s="38"/>
      <c r="D391" s="81"/>
      <c r="E391" s="81"/>
      <c r="F391" s="67"/>
      <c r="G391" s="52"/>
      <c r="H391" s="84"/>
      <c r="I391" s="84">
        <f t="shared" si="15"/>
        <v>0</v>
      </c>
      <c r="J391" s="59"/>
      <c r="AK391" s="44">
        <f t="shared" si="16"/>
        <v>0</v>
      </c>
    </row>
    <row r="392" spans="2:37">
      <c r="B392" s="107">
        <f t="shared" si="17"/>
        <v>384</v>
      </c>
      <c r="C392" s="41"/>
      <c r="D392" s="81"/>
      <c r="E392" s="81"/>
      <c r="F392" s="67"/>
      <c r="G392" s="52"/>
      <c r="H392" s="84"/>
      <c r="I392" s="84">
        <f t="shared" si="15"/>
        <v>0</v>
      </c>
      <c r="J392" s="59"/>
      <c r="AK392" s="44">
        <f t="shared" si="16"/>
        <v>0</v>
      </c>
    </row>
    <row r="393" spans="2:37">
      <c r="B393" s="107">
        <f t="shared" si="17"/>
        <v>385</v>
      </c>
      <c r="C393" s="41"/>
      <c r="D393" s="81"/>
      <c r="E393" s="81"/>
      <c r="F393" s="67"/>
      <c r="G393" s="52"/>
      <c r="H393" s="84"/>
      <c r="I393" s="84">
        <f t="shared" ref="I393:I408" si="18">IF(D393="",AK393*H393*E393,AK393*H393*E393*D393)</f>
        <v>0</v>
      </c>
      <c r="J393" s="59"/>
      <c r="AK393" s="44">
        <f t="shared" ref="AK393:AK448" si="19">IF(F393="",0,VLOOKUP(F393,$CI$16:$CJ$38,2,FALSE))</f>
        <v>0</v>
      </c>
    </row>
    <row r="394" spans="2:37">
      <c r="B394" s="107">
        <f t="shared" ref="B394:B408" si="20">IF(B393="SL.NO",1,B393+1)</f>
        <v>386</v>
      </c>
      <c r="C394" s="41"/>
      <c r="D394" s="81"/>
      <c r="E394" s="81"/>
      <c r="F394" s="67"/>
      <c r="G394" s="52"/>
      <c r="H394" s="84"/>
      <c r="I394" s="84">
        <f t="shared" si="18"/>
        <v>0</v>
      </c>
      <c r="J394" s="59"/>
      <c r="AK394" s="44">
        <f t="shared" si="19"/>
        <v>0</v>
      </c>
    </row>
    <row r="395" spans="2:37">
      <c r="B395" s="107">
        <f t="shared" si="20"/>
        <v>387</v>
      </c>
      <c r="C395" s="41"/>
      <c r="D395" s="81"/>
      <c r="E395" s="81"/>
      <c r="F395" s="67"/>
      <c r="G395" s="52"/>
      <c r="H395" s="84"/>
      <c r="I395" s="84">
        <f t="shared" si="18"/>
        <v>0</v>
      </c>
      <c r="J395" s="59"/>
      <c r="AK395" s="44">
        <f t="shared" si="19"/>
        <v>0</v>
      </c>
    </row>
    <row r="396" spans="2:37">
      <c r="B396" s="107">
        <f t="shared" si="20"/>
        <v>388</v>
      </c>
      <c r="C396" s="41"/>
      <c r="D396" s="81"/>
      <c r="E396" s="81"/>
      <c r="F396" s="67"/>
      <c r="G396" s="52"/>
      <c r="H396" s="84"/>
      <c r="I396" s="84">
        <f t="shared" si="18"/>
        <v>0</v>
      </c>
      <c r="J396" s="59"/>
      <c r="AK396" s="44">
        <f t="shared" si="19"/>
        <v>0</v>
      </c>
    </row>
    <row r="397" spans="2:37">
      <c r="B397" s="107">
        <f t="shared" si="20"/>
        <v>389</v>
      </c>
      <c r="C397" s="41"/>
      <c r="D397" s="81"/>
      <c r="E397" s="81"/>
      <c r="F397" s="67"/>
      <c r="G397" s="52"/>
      <c r="H397" s="84"/>
      <c r="I397" s="84">
        <f t="shared" si="18"/>
        <v>0</v>
      </c>
      <c r="J397" s="59"/>
      <c r="AK397" s="44">
        <f t="shared" si="19"/>
        <v>0</v>
      </c>
    </row>
    <row r="398" spans="2:37">
      <c r="B398" s="107">
        <f t="shared" si="20"/>
        <v>390</v>
      </c>
      <c r="C398" s="41"/>
      <c r="D398" s="81"/>
      <c r="E398" s="81"/>
      <c r="F398" s="67"/>
      <c r="G398" s="52"/>
      <c r="H398" s="84"/>
      <c r="I398" s="84">
        <f t="shared" si="18"/>
        <v>0</v>
      </c>
      <c r="J398" s="59"/>
      <c r="AK398" s="44">
        <f t="shared" si="19"/>
        <v>0</v>
      </c>
    </row>
    <row r="399" spans="2:37">
      <c r="B399" s="107">
        <f t="shared" si="20"/>
        <v>391</v>
      </c>
      <c r="C399" s="41"/>
      <c r="D399" s="81"/>
      <c r="E399" s="81"/>
      <c r="F399" s="67"/>
      <c r="G399" s="52"/>
      <c r="H399" s="84"/>
      <c r="I399" s="84">
        <f t="shared" si="18"/>
        <v>0</v>
      </c>
      <c r="J399" s="59"/>
      <c r="AK399" s="44">
        <f t="shared" si="19"/>
        <v>0</v>
      </c>
    </row>
    <row r="400" spans="2:37">
      <c r="B400" s="107">
        <f t="shared" si="20"/>
        <v>392</v>
      </c>
      <c r="C400" s="41"/>
      <c r="D400" s="81"/>
      <c r="E400" s="81"/>
      <c r="F400" s="67"/>
      <c r="G400" s="52"/>
      <c r="H400" s="84"/>
      <c r="I400" s="84">
        <f t="shared" si="18"/>
        <v>0</v>
      </c>
      <c r="J400" s="59"/>
      <c r="AK400" s="44">
        <f t="shared" si="19"/>
        <v>0</v>
      </c>
    </row>
    <row r="401" spans="2:104">
      <c r="B401" s="107">
        <f t="shared" si="20"/>
        <v>393</v>
      </c>
      <c r="C401" s="41"/>
      <c r="D401" s="81"/>
      <c r="E401" s="81"/>
      <c r="F401" s="67"/>
      <c r="G401" s="52"/>
      <c r="H401" s="84"/>
      <c r="I401" s="84">
        <f t="shared" si="18"/>
        <v>0</v>
      </c>
      <c r="J401" s="59"/>
      <c r="AK401" s="44">
        <f t="shared" si="19"/>
        <v>0</v>
      </c>
    </row>
    <row r="402" spans="2:104">
      <c r="B402" s="107">
        <f t="shared" si="20"/>
        <v>394</v>
      </c>
      <c r="C402" s="41"/>
      <c r="D402" s="81"/>
      <c r="E402" s="81"/>
      <c r="F402" s="67"/>
      <c r="G402" s="52"/>
      <c r="H402" s="84"/>
      <c r="I402" s="84">
        <f t="shared" si="18"/>
        <v>0</v>
      </c>
      <c r="J402" s="59"/>
      <c r="AK402" s="44">
        <f t="shared" si="19"/>
        <v>0</v>
      </c>
    </row>
    <row r="403" spans="2:104">
      <c r="B403" s="107">
        <f t="shared" si="20"/>
        <v>395</v>
      </c>
      <c r="C403" s="97"/>
      <c r="D403" s="81"/>
      <c r="E403" s="81"/>
      <c r="F403" s="67"/>
      <c r="G403" s="52"/>
      <c r="H403" s="68"/>
      <c r="I403" s="84">
        <f t="shared" si="18"/>
        <v>0</v>
      </c>
      <c r="J403" s="59"/>
      <c r="AK403" s="44">
        <f t="shared" si="19"/>
        <v>0</v>
      </c>
    </row>
    <row r="404" spans="2:104">
      <c r="B404" s="107">
        <f t="shared" si="20"/>
        <v>396</v>
      </c>
      <c r="C404" s="97"/>
      <c r="D404" s="25"/>
      <c r="E404" s="81"/>
      <c r="F404" s="67"/>
      <c r="G404" s="52"/>
      <c r="H404" s="68"/>
      <c r="I404" s="84">
        <f t="shared" si="18"/>
        <v>0</v>
      </c>
      <c r="J404" s="59"/>
      <c r="AK404" s="44">
        <f t="shared" si="19"/>
        <v>0</v>
      </c>
    </row>
    <row r="405" spans="2:104">
      <c r="B405" s="107">
        <f t="shared" si="20"/>
        <v>397</v>
      </c>
      <c r="C405" s="38"/>
      <c r="D405" s="81"/>
      <c r="E405" s="81"/>
      <c r="F405" s="67"/>
      <c r="G405" s="52"/>
      <c r="H405" s="84"/>
      <c r="I405" s="84">
        <f t="shared" si="18"/>
        <v>0</v>
      </c>
      <c r="J405" s="59"/>
      <c r="AK405" s="44">
        <f t="shared" si="19"/>
        <v>0</v>
      </c>
    </row>
    <row r="406" spans="2:104">
      <c r="B406" s="107">
        <f t="shared" si="20"/>
        <v>398</v>
      </c>
      <c r="C406" s="97"/>
      <c r="D406" s="81"/>
      <c r="E406" s="81"/>
      <c r="F406" s="67"/>
      <c r="G406" s="52"/>
      <c r="H406" s="68"/>
      <c r="I406" s="84">
        <f t="shared" si="18"/>
        <v>0</v>
      </c>
      <c r="J406" s="59"/>
      <c r="AK406" s="44">
        <f t="shared" si="19"/>
        <v>0</v>
      </c>
    </row>
    <row r="407" spans="2:104">
      <c r="B407" s="107">
        <f t="shared" si="20"/>
        <v>399</v>
      </c>
      <c r="C407" s="38"/>
      <c r="D407" s="81"/>
      <c r="E407" s="81"/>
      <c r="F407" s="67"/>
      <c r="G407" s="52"/>
      <c r="H407" s="84"/>
      <c r="I407" s="84">
        <f t="shared" si="18"/>
        <v>0</v>
      </c>
      <c r="J407" s="59"/>
      <c r="AK407" s="44">
        <f t="shared" si="19"/>
        <v>0</v>
      </c>
    </row>
    <row r="408" spans="2:104">
      <c r="B408" s="107">
        <f t="shared" si="20"/>
        <v>400</v>
      </c>
      <c r="C408" s="97"/>
      <c r="D408" s="81"/>
      <c r="E408" s="81"/>
      <c r="F408" s="67"/>
      <c r="G408" s="52"/>
      <c r="H408" s="68"/>
      <c r="I408" s="84">
        <f t="shared" si="18"/>
        <v>0</v>
      </c>
      <c r="J408" s="59"/>
      <c r="AK408" s="44">
        <f t="shared" si="19"/>
        <v>0</v>
      </c>
    </row>
    <row r="409" spans="2:104">
      <c r="B409" s="111"/>
      <c r="C409" s="111"/>
      <c r="D409" s="111"/>
      <c r="E409" s="111"/>
      <c r="F409" s="111"/>
      <c r="G409" s="112"/>
      <c r="H409" s="113" t="s">
        <v>90</v>
      </c>
      <c r="I409" s="118">
        <f>SUM(I9:I408)</f>
        <v>41307.340559999975</v>
      </c>
      <c r="AK409" s="44">
        <f t="shared" si="19"/>
        <v>0</v>
      </c>
      <c r="CC409" s="111"/>
      <c r="CD409" s="111"/>
      <c r="CE409" s="111"/>
      <c r="CF409" s="111"/>
      <c r="CG409" s="111"/>
      <c r="CH409" s="111"/>
      <c r="CI409" s="111"/>
      <c r="CJ409" s="111"/>
      <c r="CK409" s="111"/>
      <c r="CL409" s="111"/>
      <c r="CM409" s="111"/>
      <c r="CN409" s="111"/>
      <c r="CO409" s="111"/>
      <c r="CP409" s="111"/>
      <c r="CQ409" s="111"/>
      <c r="CR409" s="111"/>
      <c r="CS409" s="111"/>
      <c r="CT409" s="111"/>
      <c r="CU409" s="111"/>
      <c r="CV409" s="111"/>
      <c r="CW409" s="111"/>
      <c r="CX409" s="111"/>
      <c r="CY409" s="111"/>
      <c r="CZ409" s="111"/>
    </row>
    <row r="410" spans="2:104">
      <c r="AK410" s="44">
        <f t="shared" si="19"/>
        <v>0</v>
      </c>
      <c r="CC410" s="111"/>
      <c r="CD410" s="111"/>
      <c r="CE410" s="111"/>
      <c r="CF410" s="111"/>
      <c r="CG410" s="111"/>
      <c r="CH410" s="111"/>
      <c r="CI410" s="111"/>
      <c r="CJ410" s="111"/>
      <c r="CK410" s="111"/>
      <c r="CL410" s="111"/>
      <c r="CM410" s="111"/>
      <c r="CN410" s="111"/>
      <c r="CO410" s="111"/>
      <c r="CP410" s="111"/>
      <c r="CQ410" s="111"/>
      <c r="CR410" s="111"/>
      <c r="CS410" s="111"/>
      <c r="CT410" s="111"/>
      <c r="CU410" s="111"/>
      <c r="CV410" s="111"/>
      <c r="CW410" s="111"/>
      <c r="CX410" s="111"/>
      <c r="CY410" s="111"/>
      <c r="CZ410" s="111"/>
    </row>
    <row r="411" spans="2:104">
      <c r="AK411" s="44">
        <f t="shared" si="19"/>
        <v>0</v>
      </c>
      <c r="CC411" s="111"/>
      <c r="CD411" s="111"/>
      <c r="CE411" s="111"/>
      <c r="CF411" s="111"/>
      <c r="CG411" s="111"/>
      <c r="CH411" s="111"/>
      <c r="CI411" s="111"/>
      <c r="CJ411" s="111"/>
      <c r="CK411" s="111"/>
      <c r="CL411" s="111"/>
      <c r="CM411" s="111"/>
      <c r="CN411" s="111"/>
      <c r="CO411" s="111"/>
      <c r="CP411" s="111"/>
      <c r="CQ411" s="111"/>
      <c r="CR411" s="111"/>
      <c r="CS411" s="111"/>
      <c r="CT411" s="111"/>
      <c r="CU411" s="111"/>
      <c r="CV411" s="111"/>
      <c r="CW411" s="111"/>
      <c r="CX411" s="111"/>
      <c r="CY411" s="111"/>
      <c r="CZ411" s="111"/>
    </row>
    <row r="412" spans="2:104">
      <c r="I412" s="114"/>
      <c r="AK412" s="44">
        <f t="shared" si="19"/>
        <v>0</v>
      </c>
      <c r="CC412" s="111"/>
      <c r="CD412" s="111"/>
      <c r="CE412" s="111"/>
      <c r="CF412" s="111"/>
      <c r="CG412" s="111"/>
      <c r="CH412" s="111"/>
      <c r="CI412" s="111"/>
      <c r="CJ412" s="111"/>
      <c r="CK412" s="111"/>
      <c r="CL412" s="111"/>
      <c r="CM412" s="111"/>
      <c r="CN412" s="111"/>
      <c r="CO412" s="111"/>
      <c r="CP412" s="111"/>
      <c r="CQ412" s="111"/>
      <c r="CR412" s="111"/>
      <c r="CS412" s="111"/>
      <c r="CT412" s="111"/>
      <c r="CU412" s="111"/>
      <c r="CV412" s="111"/>
      <c r="CW412" s="111"/>
      <c r="CX412" s="111"/>
      <c r="CY412" s="111"/>
      <c r="CZ412" s="111"/>
    </row>
    <row r="413" spans="2:104">
      <c r="I413" s="115">
        <f>I409/2000</f>
        <v>20.653670279999986</v>
      </c>
      <c r="AK413" s="44">
        <f t="shared" si="19"/>
        <v>0</v>
      </c>
      <c r="CC413" s="111"/>
      <c r="CD413" s="111"/>
      <c r="CE413" s="111"/>
      <c r="CF413" s="111"/>
      <c r="CG413" s="111"/>
      <c r="CH413" s="111"/>
      <c r="CI413" s="111"/>
      <c r="CJ413" s="111"/>
      <c r="CK413" s="111"/>
      <c r="CL413" s="111"/>
      <c r="CM413" s="111"/>
      <c r="CN413" s="111"/>
      <c r="CO413" s="111"/>
      <c r="CP413" s="111"/>
      <c r="CQ413" s="111"/>
      <c r="CR413" s="111"/>
      <c r="CS413" s="111"/>
      <c r="CT413" s="111"/>
      <c r="CU413" s="111"/>
      <c r="CV413" s="111"/>
      <c r="CW413" s="111"/>
      <c r="CX413" s="111"/>
      <c r="CY413" s="111"/>
      <c r="CZ413" s="111"/>
    </row>
    <row r="414" spans="2:104">
      <c r="K414" s="50"/>
      <c r="AK414" s="44">
        <f t="shared" si="19"/>
        <v>0</v>
      </c>
      <c r="CC414" s="111"/>
      <c r="CD414" s="111"/>
      <c r="CE414" s="111"/>
      <c r="CF414" s="111"/>
      <c r="CG414" s="111"/>
      <c r="CH414" s="111"/>
      <c r="CI414" s="111"/>
      <c r="CJ414" s="111"/>
      <c r="CK414" s="111"/>
      <c r="CL414" s="111"/>
      <c r="CM414" s="111"/>
      <c r="CN414" s="111"/>
      <c r="CO414" s="111"/>
      <c r="CP414" s="111"/>
      <c r="CQ414" s="111"/>
      <c r="CR414" s="111"/>
      <c r="CS414" s="111"/>
      <c r="CT414" s="111"/>
      <c r="CU414" s="111"/>
      <c r="CV414" s="111"/>
      <c r="CW414" s="111"/>
      <c r="CX414" s="111"/>
      <c r="CY414" s="111"/>
      <c r="CZ414" s="111"/>
    </row>
    <row r="415" spans="2:104">
      <c r="AK415" s="44">
        <f t="shared" si="19"/>
        <v>0</v>
      </c>
      <c r="CC415" s="111"/>
      <c r="CD415" s="111"/>
      <c r="CE415" s="111"/>
      <c r="CF415" s="111"/>
      <c r="CG415" s="111"/>
      <c r="CH415" s="111"/>
      <c r="CI415" s="111"/>
      <c r="CJ415" s="111"/>
      <c r="CK415" s="111"/>
      <c r="CL415" s="111"/>
      <c r="CM415" s="111"/>
      <c r="CN415" s="111"/>
      <c r="CO415" s="111"/>
      <c r="CP415" s="111"/>
      <c r="CQ415" s="111"/>
      <c r="CR415" s="111"/>
      <c r="CS415" s="111"/>
      <c r="CT415" s="111"/>
      <c r="CU415" s="111"/>
      <c r="CV415" s="111"/>
      <c r="CW415" s="111"/>
      <c r="CX415" s="111"/>
      <c r="CY415" s="111"/>
      <c r="CZ415" s="111"/>
    </row>
    <row r="416" spans="2:104">
      <c r="AK416" s="44">
        <f t="shared" si="19"/>
        <v>0</v>
      </c>
      <c r="CC416" s="111"/>
      <c r="CD416" s="111"/>
      <c r="CE416" s="111"/>
      <c r="CF416" s="111"/>
      <c r="CG416" s="111"/>
      <c r="CH416" s="111"/>
      <c r="CI416" s="111"/>
      <c r="CJ416" s="111"/>
      <c r="CK416" s="111"/>
      <c r="CL416" s="111"/>
      <c r="CM416" s="111"/>
      <c r="CN416" s="111"/>
      <c r="CO416" s="111"/>
      <c r="CP416" s="111"/>
      <c r="CQ416" s="111"/>
      <c r="CR416" s="111"/>
      <c r="CS416" s="111"/>
      <c r="CT416" s="111"/>
      <c r="CU416" s="111"/>
      <c r="CV416" s="111"/>
      <c r="CW416" s="111"/>
      <c r="CX416" s="111"/>
      <c r="CY416" s="111"/>
      <c r="CZ416" s="111"/>
    </row>
    <row r="417" spans="3:104">
      <c r="C417" s="111"/>
      <c r="D417" s="111"/>
      <c r="E417" s="111"/>
      <c r="F417" s="111"/>
      <c r="G417" s="111"/>
      <c r="H417" s="111"/>
      <c r="AK417" s="44">
        <f t="shared" si="19"/>
        <v>0</v>
      </c>
      <c r="CC417" s="111"/>
      <c r="CD417" s="111"/>
      <c r="CE417" s="111"/>
      <c r="CF417" s="111"/>
      <c r="CG417" s="111"/>
      <c r="CH417" s="111"/>
      <c r="CI417" s="111"/>
      <c r="CJ417" s="111"/>
      <c r="CK417" s="111"/>
      <c r="CL417" s="111"/>
      <c r="CM417" s="111"/>
      <c r="CN417" s="111"/>
      <c r="CO417" s="111"/>
      <c r="CP417" s="111"/>
      <c r="CQ417" s="111"/>
      <c r="CR417" s="111"/>
      <c r="CS417" s="111"/>
      <c r="CT417" s="111"/>
      <c r="CU417" s="111"/>
      <c r="CV417" s="111"/>
      <c r="CW417" s="111"/>
      <c r="CX417" s="111"/>
      <c r="CY417" s="111"/>
      <c r="CZ417" s="111"/>
    </row>
    <row r="418" spans="3:104">
      <c r="C418" s="111"/>
      <c r="D418" s="111"/>
      <c r="E418" s="111"/>
      <c r="F418" s="111"/>
      <c r="G418" s="111"/>
      <c r="H418" s="111"/>
      <c r="AK418" s="44">
        <f t="shared" si="19"/>
        <v>0</v>
      </c>
      <c r="CC418" s="111"/>
      <c r="CD418" s="111"/>
      <c r="CE418" s="111"/>
      <c r="CF418" s="111"/>
      <c r="CG418" s="111"/>
      <c r="CH418" s="111"/>
      <c r="CI418" s="111"/>
      <c r="CJ418" s="111"/>
      <c r="CK418" s="111"/>
      <c r="CL418" s="111"/>
      <c r="CM418" s="111"/>
      <c r="CN418" s="111"/>
      <c r="CO418" s="111"/>
      <c r="CP418" s="111"/>
      <c r="CQ418" s="111"/>
      <c r="CR418" s="111"/>
      <c r="CS418" s="111"/>
      <c r="CT418" s="111"/>
      <c r="CU418" s="111"/>
      <c r="CV418" s="111"/>
      <c r="CW418" s="111"/>
      <c r="CX418" s="111"/>
      <c r="CY418" s="111"/>
      <c r="CZ418" s="111"/>
    </row>
    <row r="419" spans="3:104">
      <c r="C419" s="111"/>
      <c r="D419" s="111"/>
      <c r="E419" s="111"/>
      <c r="F419" s="111"/>
      <c r="G419" s="111"/>
      <c r="H419" s="111"/>
      <c r="AK419" s="44">
        <f t="shared" si="19"/>
        <v>0</v>
      </c>
      <c r="CC419" s="111"/>
      <c r="CD419" s="111"/>
      <c r="CE419" s="111"/>
      <c r="CF419" s="111"/>
      <c r="CG419" s="111"/>
      <c r="CH419" s="111"/>
      <c r="CI419" s="111"/>
      <c r="CJ419" s="111"/>
      <c r="CK419" s="111"/>
      <c r="CL419" s="111"/>
      <c r="CM419" s="111"/>
      <c r="CN419" s="111"/>
      <c r="CO419" s="111"/>
      <c r="CP419" s="111"/>
      <c r="CQ419" s="111"/>
      <c r="CR419" s="111"/>
      <c r="CS419" s="111"/>
      <c r="CT419" s="111"/>
      <c r="CU419" s="111"/>
      <c r="CV419" s="111"/>
      <c r="CW419" s="111"/>
      <c r="CX419" s="111"/>
      <c r="CY419" s="111"/>
      <c r="CZ419" s="111"/>
    </row>
    <row r="420" spans="3:104">
      <c r="C420" s="111"/>
      <c r="D420" s="111"/>
      <c r="E420" s="111"/>
      <c r="F420" s="111"/>
      <c r="G420" s="111"/>
      <c r="H420" s="111"/>
      <c r="AK420" s="44">
        <f t="shared" si="19"/>
        <v>0</v>
      </c>
      <c r="CC420" s="111"/>
      <c r="CD420" s="111"/>
      <c r="CE420" s="111"/>
      <c r="CF420" s="111"/>
      <c r="CG420" s="111"/>
      <c r="CH420" s="111"/>
      <c r="CI420" s="111"/>
      <c r="CJ420" s="111"/>
      <c r="CK420" s="111"/>
      <c r="CL420" s="111"/>
      <c r="CM420" s="111"/>
      <c r="CN420" s="111"/>
      <c r="CO420" s="111"/>
      <c r="CP420" s="111"/>
      <c r="CQ420" s="111"/>
      <c r="CR420" s="111"/>
      <c r="CS420" s="111"/>
      <c r="CT420" s="111"/>
      <c r="CU420" s="111"/>
      <c r="CV420" s="111"/>
      <c r="CW420" s="111"/>
      <c r="CX420" s="111"/>
      <c r="CY420" s="111"/>
      <c r="CZ420" s="111"/>
    </row>
    <row r="421" spans="3:104">
      <c r="C421" s="111"/>
      <c r="D421" s="111"/>
      <c r="E421" s="111"/>
      <c r="F421" s="111"/>
      <c r="G421" s="111"/>
      <c r="H421" s="111"/>
      <c r="AK421" s="44">
        <f t="shared" si="19"/>
        <v>0</v>
      </c>
      <c r="CC421" s="111"/>
      <c r="CD421" s="111"/>
      <c r="CE421" s="111"/>
      <c r="CF421" s="111"/>
      <c r="CG421" s="111"/>
      <c r="CH421" s="111"/>
      <c r="CI421" s="111"/>
      <c r="CJ421" s="111"/>
      <c r="CK421" s="111"/>
      <c r="CL421" s="111"/>
      <c r="CM421" s="111"/>
      <c r="CN421" s="111"/>
      <c r="CO421" s="111"/>
      <c r="CP421" s="111"/>
      <c r="CQ421" s="111"/>
      <c r="CR421" s="111"/>
      <c r="CS421" s="111"/>
      <c r="CT421" s="111"/>
      <c r="CU421" s="111"/>
      <c r="CV421" s="111"/>
      <c r="CW421" s="111"/>
      <c r="CX421" s="111"/>
      <c r="CY421" s="111"/>
      <c r="CZ421" s="111"/>
    </row>
    <row r="422" spans="3:104">
      <c r="C422" s="111"/>
      <c r="D422" s="111"/>
      <c r="E422" s="116"/>
      <c r="F422" s="116"/>
      <c r="G422" s="116"/>
      <c r="H422" s="111"/>
      <c r="AK422" s="44">
        <f t="shared" si="19"/>
        <v>0</v>
      </c>
      <c r="CC422" s="111"/>
      <c r="CD422" s="111"/>
      <c r="CE422" s="111"/>
      <c r="CF422" s="111"/>
      <c r="CG422" s="111"/>
      <c r="CH422" s="111"/>
      <c r="CI422" s="111"/>
      <c r="CJ422" s="111"/>
      <c r="CK422" s="111"/>
      <c r="CL422" s="111"/>
      <c r="CM422" s="111"/>
      <c r="CN422" s="111"/>
      <c r="CO422" s="111"/>
      <c r="CP422" s="111"/>
      <c r="CQ422" s="111"/>
      <c r="CR422" s="111"/>
      <c r="CS422" s="111"/>
      <c r="CT422" s="111"/>
      <c r="CU422" s="111"/>
      <c r="CV422" s="111"/>
      <c r="CW422" s="111"/>
      <c r="CX422" s="111"/>
      <c r="CY422" s="111"/>
      <c r="CZ422" s="111"/>
    </row>
    <row r="423" spans="3:104">
      <c r="C423" s="111"/>
      <c r="D423" s="111"/>
      <c r="E423" s="116"/>
      <c r="F423" s="116"/>
      <c r="G423" s="116"/>
      <c r="H423" s="111"/>
      <c r="AK423" s="44">
        <f t="shared" si="19"/>
        <v>0</v>
      </c>
      <c r="CC423" s="111"/>
      <c r="CD423" s="111"/>
      <c r="CE423" s="111"/>
      <c r="CF423" s="111"/>
      <c r="CG423" s="111"/>
      <c r="CH423" s="111"/>
      <c r="CI423" s="111"/>
      <c r="CJ423" s="111"/>
      <c r="CK423" s="111"/>
      <c r="CL423" s="111"/>
      <c r="CM423" s="111"/>
      <c r="CN423" s="111"/>
      <c r="CO423" s="111"/>
      <c r="CP423" s="111"/>
      <c r="CQ423" s="111"/>
      <c r="CR423" s="111"/>
      <c r="CS423" s="111"/>
      <c r="CT423" s="111"/>
      <c r="CU423" s="111"/>
      <c r="CV423" s="111"/>
      <c r="CW423" s="111"/>
      <c r="CX423" s="111"/>
      <c r="CY423" s="111"/>
      <c r="CZ423" s="111"/>
    </row>
    <row r="424" spans="3:104">
      <c r="C424" s="111"/>
      <c r="D424" s="111"/>
      <c r="E424" s="116"/>
      <c r="F424" s="116"/>
      <c r="G424" s="116"/>
      <c r="H424" s="111"/>
      <c r="AK424" s="44">
        <f t="shared" si="19"/>
        <v>0</v>
      </c>
      <c r="CC424" s="111"/>
      <c r="CD424" s="111"/>
      <c r="CE424" s="111"/>
      <c r="CF424" s="111"/>
      <c r="CG424" s="111"/>
      <c r="CH424" s="111"/>
      <c r="CI424" s="111"/>
      <c r="CJ424" s="111"/>
      <c r="CK424" s="111"/>
      <c r="CL424" s="111"/>
      <c r="CM424" s="111"/>
      <c r="CN424" s="111"/>
      <c r="CO424" s="111"/>
      <c r="CP424" s="111"/>
      <c r="CQ424" s="111"/>
      <c r="CR424" s="111"/>
      <c r="CS424" s="111"/>
      <c r="CT424" s="111"/>
      <c r="CU424" s="111"/>
      <c r="CV424" s="111"/>
      <c r="CW424" s="111"/>
      <c r="CX424" s="111"/>
      <c r="CY424" s="111"/>
      <c r="CZ424" s="111"/>
    </row>
    <row r="425" spans="3:104">
      <c r="C425" s="111"/>
      <c r="D425" s="111"/>
      <c r="E425" s="116"/>
      <c r="F425" s="116"/>
      <c r="G425" s="116"/>
      <c r="H425" s="111"/>
      <c r="AK425" s="44">
        <f t="shared" si="19"/>
        <v>0</v>
      </c>
      <c r="CC425" s="111"/>
      <c r="CD425" s="111"/>
      <c r="CE425" s="111"/>
      <c r="CF425" s="111"/>
      <c r="CG425" s="111"/>
      <c r="CH425" s="111"/>
      <c r="CI425" s="111"/>
      <c r="CJ425" s="111"/>
      <c r="CK425" s="111"/>
      <c r="CL425" s="111"/>
      <c r="CM425" s="111"/>
      <c r="CN425" s="111"/>
      <c r="CO425" s="111"/>
      <c r="CP425" s="111"/>
      <c r="CQ425" s="111"/>
      <c r="CR425" s="111"/>
      <c r="CS425" s="111"/>
      <c r="CT425" s="111"/>
      <c r="CU425" s="111"/>
      <c r="CV425" s="111"/>
      <c r="CW425" s="111"/>
      <c r="CX425" s="111"/>
      <c r="CY425" s="111"/>
      <c r="CZ425" s="111"/>
    </row>
    <row r="426" spans="3:104">
      <c r="C426" s="111"/>
      <c r="D426" s="111"/>
      <c r="E426" s="111"/>
      <c r="F426" s="111"/>
      <c r="G426" s="111"/>
      <c r="H426" s="111"/>
      <c r="AK426" s="44">
        <f t="shared" si="19"/>
        <v>0</v>
      </c>
    </row>
    <row r="427" spans="3:104">
      <c r="AK427" s="44">
        <f t="shared" si="19"/>
        <v>0</v>
      </c>
    </row>
    <row r="428" spans="3:104">
      <c r="AK428" s="44">
        <f t="shared" si="19"/>
        <v>0</v>
      </c>
    </row>
    <row r="429" spans="3:104">
      <c r="AK429" s="44">
        <f t="shared" si="19"/>
        <v>0</v>
      </c>
    </row>
    <row r="430" spans="3:104">
      <c r="AK430" s="44">
        <f t="shared" si="19"/>
        <v>0</v>
      </c>
    </row>
    <row r="431" spans="3:104">
      <c r="AK431" s="44">
        <f t="shared" si="19"/>
        <v>0</v>
      </c>
    </row>
    <row r="432" spans="3:104">
      <c r="AK432" s="44">
        <f t="shared" si="19"/>
        <v>0</v>
      </c>
    </row>
    <row r="433" spans="37:37">
      <c r="AK433" s="44">
        <f t="shared" si="19"/>
        <v>0</v>
      </c>
    </row>
    <row r="434" spans="37:37">
      <c r="AK434" s="44">
        <f t="shared" si="19"/>
        <v>0</v>
      </c>
    </row>
    <row r="435" spans="37:37">
      <c r="AK435" s="44">
        <f t="shared" si="19"/>
        <v>0</v>
      </c>
    </row>
    <row r="436" spans="37:37">
      <c r="AK436" s="44">
        <f t="shared" si="19"/>
        <v>0</v>
      </c>
    </row>
    <row r="437" spans="37:37">
      <c r="AK437" s="44">
        <f t="shared" si="19"/>
        <v>0</v>
      </c>
    </row>
    <row r="438" spans="37:37">
      <c r="AK438" s="44">
        <f t="shared" si="19"/>
        <v>0</v>
      </c>
    </row>
    <row r="439" spans="37:37">
      <c r="AK439" s="44">
        <f t="shared" si="19"/>
        <v>0</v>
      </c>
    </row>
    <row r="440" spans="37:37">
      <c r="AK440" s="44">
        <f t="shared" si="19"/>
        <v>0</v>
      </c>
    </row>
    <row r="441" spans="37:37">
      <c r="AK441" s="44">
        <f t="shared" si="19"/>
        <v>0</v>
      </c>
    </row>
    <row r="442" spans="37:37">
      <c r="AK442" s="44">
        <f t="shared" si="19"/>
        <v>0</v>
      </c>
    </row>
    <row r="443" spans="37:37">
      <c r="AK443" s="44">
        <f t="shared" si="19"/>
        <v>0</v>
      </c>
    </row>
    <row r="444" spans="37:37">
      <c r="AK444" s="44">
        <f t="shared" si="19"/>
        <v>0</v>
      </c>
    </row>
    <row r="445" spans="37:37">
      <c r="AK445" s="44">
        <f t="shared" si="19"/>
        <v>0</v>
      </c>
    </row>
    <row r="446" spans="37:37">
      <c r="AK446" s="44">
        <f t="shared" si="19"/>
        <v>0</v>
      </c>
    </row>
    <row r="447" spans="37:37">
      <c r="AK447" s="44">
        <f t="shared" si="19"/>
        <v>0</v>
      </c>
    </row>
    <row r="448" spans="37:37">
      <c r="AK448" s="44">
        <f t="shared" si="19"/>
        <v>0</v>
      </c>
    </row>
    <row r="449" spans="37:37">
      <c r="AK449" s="44">
        <f t="shared" ref="AK449:AK498" si="21">IF(F449="",0,VLOOKUP(F449,$CI$16:$CJ$38,2,FALSE))</f>
        <v>0</v>
      </c>
    </row>
    <row r="450" spans="37:37">
      <c r="AK450" s="44">
        <f t="shared" si="21"/>
        <v>0</v>
      </c>
    </row>
    <row r="451" spans="37:37">
      <c r="AK451" s="44">
        <f t="shared" si="21"/>
        <v>0</v>
      </c>
    </row>
    <row r="452" spans="37:37">
      <c r="AK452" s="44">
        <f t="shared" si="21"/>
        <v>0</v>
      </c>
    </row>
    <row r="453" spans="37:37">
      <c r="AK453" s="44">
        <f t="shared" si="21"/>
        <v>0</v>
      </c>
    </row>
    <row r="454" spans="37:37">
      <c r="AK454" s="44">
        <f t="shared" si="21"/>
        <v>0</v>
      </c>
    </row>
    <row r="455" spans="37:37">
      <c r="AK455" s="44">
        <f t="shared" si="21"/>
        <v>0</v>
      </c>
    </row>
    <row r="456" spans="37:37">
      <c r="AK456" s="44">
        <f t="shared" si="21"/>
        <v>0</v>
      </c>
    </row>
    <row r="457" spans="37:37">
      <c r="AK457" s="44">
        <f t="shared" si="21"/>
        <v>0</v>
      </c>
    </row>
    <row r="458" spans="37:37">
      <c r="AK458" s="44">
        <f t="shared" si="21"/>
        <v>0</v>
      </c>
    </row>
    <row r="459" spans="37:37">
      <c r="AK459" s="44">
        <f t="shared" si="21"/>
        <v>0</v>
      </c>
    </row>
    <row r="460" spans="37:37">
      <c r="AK460" s="44">
        <f t="shared" si="21"/>
        <v>0</v>
      </c>
    </row>
    <row r="461" spans="37:37">
      <c r="AK461" s="44">
        <f t="shared" si="21"/>
        <v>0</v>
      </c>
    </row>
    <row r="462" spans="37:37">
      <c r="AK462" s="44">
        <f t="shared" si="21"/>
        <v>0</v>
      </c>
    </row>
    <row r="463" spans="37:37">
      <c r="AK463" s="44">
        <f t="shared" si="21"/>
        <v>0</v>
      </c>
    </row>
    <row r="464" spans="37:37">
      <c r="AK464" s="44">
        <f t="shared" si="21"/>
        <v>0</v>
      </c>
    </row>
    <row r="465" spans="37:37">
      <c r="AK465" s="44">
        <f t="shared" si="21"/>
        <v>0</v>
      </c>
    </row>
    <row r="466" spans="37:37">
      <c r="AK466" s="44">
        <f t="shared" si="21"/>
        <v>0</v>
      </c>
    </row>
    <row r="467" spans="37:37">
      <c r="AK467" s="44">
        <f t="shared" si="21"/>
        <v>0</v>
      </c>
    </row>
    <row r="468" spans="37:37">
      <c r="AK468" s="44">
        <f t="shared" si="21"/>
        <v>0</v>
      </c>
    </row>
    <row r="469" spans="37:37">
      <c r="AK469" s="44">
        <f t="shared" si="21"/>
        <v>0</v>
      </c>
    </row>
    <row r="470" spans="37:37">
      <c r="AK470" s="44">
        <f t="shared" si="21"/>
        <v>0</v>
      </c>
    </row>
    <row r="471" spans="37:37">
      <c r="AK471" s="44">
        <f t="shared" si="21"/>
        <v>0</v>
      </c>
    </row>
    <row r="472" spans="37:37">
      <c r="AK472" s="44">
        <f t="shared" si="21"/>
        <v>0</v>
      </c>
    </row>
    <row r="473" spans="37:37">
      <c r="AK473" s="44">
        <f t="shared" si="21"/>
        <v>0</v>
      </c>
    </row>
    <row r="474" spans="37:37">
      <c r="AK474" s="44">
        <f t="shared" si="21"/>
        <v>0</v>
      </c>
    </row>
    <row r="475" spans="37:37">
      <c r="AK475" s="44">
        <f t="shared" si="21"/>
        <v>0</v>
      </c>
    </row>
    <row r="476" spans="37:37">
      <c r="AK476" s="44">
        <f t="shared" si="21"/>
        <v>0</v>
      </c>
    </row>
    <row r="477" spans="37:37">
      <c r="AK477" s="44">
        <f t="shared" si="21"/>
        <v>0</v>
      </c>
    </row>
    <row r="478" spans="37:37">
      <c r="AK478" s="44">
        <f t="shared" si="21"/>
        <v>0</v>
      </c>
    </row>
    <row r="479" spans="37:37">
      <c r="AK479" s="44">
        <f t="shared" si="21"/>
        <v>0</v>
      </c>
    </row>
    <row r="480" spans="37:37">
      <c r="AK480" s="44">
        <f t="shared" si="21"/>
        <v>0</v>
      </c>
    </row>
    <row r="481" spans="37:37">
      <c r="AK481" s="44">
        <f t="shared" si="21"/>
        <v>0</v>
      </c>
    </row>
    <row r="482" spans="37:37">
      <c r="AK482" s="44">
        <f t="shared" si="21"/>
        <v>0</v>
      </c>
    </row>
    <row r="483" spans="37:37">
      <c r="AK483" s="44">
        <f t="shared" si="21"/>
        <v>0</v>
      </c>
    </row>
    <row r="484" spans="37:37">
      <c r="AK484" s="44">
        <f t="shared" si="21"/>
        <v>0</v>
      </c>
    </row>
    <row r="485" spans="37:37">
      <c r="AK485" s="44">
        <f t="shared" si="21"/>
        <v>0</v>
      </c>
    </row>
    <row r="486" spans="37:37">
      <c r="AK486" s="44">
        <f t="shared" si="21"/>
        <v>0</v>
      </c>
    </row>
    <row r="487" spans="37:37">
      <c r="AK487" s="44">
        <f t="shared" si="21"/>
        <v>0</v>
      </c>
    </row>
    <row r="488" spans="37:37">
      <c r="AK488" s="44">
        <f t="shared" si="21"/>
        <v>0</v>
      </c>
    </row>
    <row r="489" spans="37:37">
      <c r="AK489" s="44">
        <f t="shared" si="21"/>
        <v>0</v>
      </c>
    </row>
    <row r="490" spans="37:37">
      <c r="AK490" s="44">
        <f t="shared" si="21"/>
        <v>0</v>
      </c>
    </row>
    <row r="491" spans="37:37">
      <c r="AK491" s="44">
        <f t="shared" si="21"/>
        <v>0</v>
      </c>
    </row>
    <row r="492" spans="37:37">
      <c r="AK492" s="44">
        <f t="shared" si="21"/>
        <v>0</v>
      </c>
    </row>
    <row r="493" spans="37:37">
      <c r="AK493" s="44">
        <f t="shared" si="21"/>
        <v>0</v>
      </c>
    </row>
    <row r="494" spans="37:37">
      <c r="AK494" s="44">
        <f t="shared" si="21"/>
        <v>0</v>
      </c>
    </row>
    <row r="495" spans="37:37">
      <c r="AK495" s="44">
        <f t="shared" si="21"/>
        <v>0</v>
      </c>
    </row>
    <row r="496" spans="37:37">
      <c r="AK496" s="44">
        <f t="shared" si="21"/>
        <v>0</v>
      </c>
    </row>
    <row r="497" spans="37:37">
      <c r="AK497" s="44">
        <f t="shared" si="21"/>
        <v>0</v>
      </c>
    </row>
    <row r="498" spans="37:37">
      <c r="AK498" s="44">
        <f t="shared" si="21"/>
        <v>0</v>
      </c>
    </row>
  </sheetData>
  <mergeCells count="4">
    <mergeCell ref="C1:H2"/>
    <mergeCell ref="D4:I4"/>
    <mergeCell ref="D5:I5"/>
    <mergeCell ref="D6:I6"/>
  </mergeCells>
  <dataValidations disablePrompts="1" count="5">
    <dataValidation type="list" allowBlank="1" showInputMessage="1" showErrorMessage="1" sqref="G9:G401">
      <formula1>$CL$12:$CL$22</formula1>
    </dataValidation>
    <dataValidation type="list" allowBlank="1" showInputMessage="1" showErrorMessage="1" sqref="F9:F401">
      <formula1>$CI$10:$CI$154</formula1>
    </dataValidation>
    <dataValidation type="list" allowBlank="1" showInputMessage="1" showErrorMessage="1" sqref="J9:J408">
      <formula1>"A-615 GR-60,A-615 GR-40,A706 GR-60"</formula1>
    </dataValidation>
    <dataValidation type="list" allowBlank="1" showInputMessage="1" showErrorMessage="1" sqref="G402:G408">
      <formula1>$CL$15:$CL$24</formula1>
    </dataValidation>
    <dataValidation type="list" allowBlank="1" showInputMessage="1" showErrorMessage="1" sqref="F402:F408">
      <formula1>$CI$16:$CI$38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Corp.-Estimation&amp;RPage &amp;P of &amp;N</oddFooter>
  </headerFooter>
  <rowBreaks count="7" manualBreakCount="7">
    <brk id="58" min="1" max="8" man="1"/>
    <brk id="108" min="1" max="8" man="1"/>
    <brk id="158" min="1" max="8" man="1"/>
    <brk id="208" min="1" max="8" man="1"/>
    <brk id="258" min="1" max="8" man="1"/>
    <brk id="308" min="1" max="8" man="1"/>
    <brk id="358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CL63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M31" sqref="M31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267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I63</f>
        <v>75.711297582500023</v>
      </c>
      <c r="AK8" s="51" t="s">
        <v>52</v>
      </c>
    </row>
    <row r="9" spans="2:90" ht="12.75" customHeight="1">
      <c r="B9" s="26">
        <f>IF(B8="SL.NO",1,B8+1)</f>
        <v>1</v>
      </c>
      <c r="C9" s="42" t="s">
        <v>224</v>
      </c>
      <c r="D9" s="52"/>
      <c r="E9" s="52"/>
      <c r="F9" s="53"/>
      <c r="G9" s="52"/>
      <c r="H9" s="54"/>
      <c r="I9" s="55">
        <f t="shared" ref="I9:I58" si="0">IF(D9="",AK9*H9*E9,AK9*H9*E9*D9)</f>
        <v>0</v>
      </c>
      <c r="J9" s="56"/>
      <c r="AK9" s="44">
        <f t="shared" ref="AK9:AK59" si="1">IF(F9="",0,VLOOKUP(F9,$CI$16:$CJ$58,2,FALSE))</f>
        <v>0</v>
      </c>
    </row>
    <row r="10" spans="2:90" ht="12.75" customHeight="1">
      <c r="B10" s="26">
        <f t="shared" ref="B10:B58" si="2">IF(B9="SL.NO",1,B9+1)</f>
        <v>2</v>
      </c>
      <c r="C10" s="43" t="s">
        <v>225</v>
      </c>
      <c r="D10" s="52"/>
      <c r="E10" s="52"/>
      <c r="F10" s="53"/>
      <c r="G10" s="52"/>
      <c r="H10" s="54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43" t="s">
        <v>226</v>
      </c>
      <c r="D11" s="66"/>
      <c r="E11" s="66"/>
      <c r="F11" s="67"/>
      <c r="G11" s="73"/>
      <c r="H11" s="68"/>
      <c r="I11" s="93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119" t="s">
        <v>227</v>
      </c>
      <c r="D12" s="81"/>
      <c r="E12" s="120">
        <f>TRUNC(535.75/0.58+1.9)</f>
        <v>925</v>
      </c>
      <c r="F12" s="121">
        <v>7</v>
      </c>
      <c r="G12" s="122" t="s">
        <v>57</v>
      </c>
      <c r="H12" s="84">
        <v>19.167000000000002</v>
      </c>
      <c r="I12" s="55">
        <f t="shared" si="0"/>
        <v>36239.046900000001</v>
      </c>
      <c r="J12" s="59"/>
      <c r="K12" s="4"/>
      <c r="M12" s="4"/>
      <c r="N12" s="4"/>
      <c r="O12" s="4"/>
      <c r="P12" s="4"/>
      <c r="Q12" s="4"/>
      <c r="AK12" s="44">
        <f t="shared" si="1"/>
        <v>2.044</v>
      </c>
    </row>
    <row r="13" spans="2:90" ht="12.75" customHeight="1">
      <c r="B13" s="26">
        <f t="shared" si="2"/>
        <v>5</v>
      </c>
      <c r="C13" s="119" t="s">
        <v>227</v>
      </c>
      <c r="D13" s="81"/>
      <c r="E13" s="120">
        <f>TRUNC(535.75/0.58+1.9)</f>
        <v>925</v>
      </c>
      <c r="F13" s="121">
        <v>7</v>
      </c>
      <c r="G13" s="122" t="s">
        <v>57</v>
      </c>
      <c r="H13" s="84">
        <v>11.91</v>
      </c>
      <c r="I13" s="55">
        <f t="shared" si="0"/>
        <v>22518.237000000001</v>
      </c>
      <c r="J13" s="59"/>
      <c r="K13" s="4"/>
      <c r="M13" s="4"/>
      <c r="N13" s="4"/>
      <c r="O13" s="5"/>
      <c r="P13" s="4"/>
      <c r="Q13" s="4"/>
      <c r="AK13" s="44">
        <f t="shared" si="1"/>
        <v>2.044</v>
      </c>
    </row>
    <row r="14" spans="2:90" ht="12.75" customHeight="1" thickBot="1">
      <c r="B14" s="26">
        <f t="shared" si="2"/>
        <v>6</v>
      </c>
      <c r="C14" s="119" t="s">
        <v>228</v>
      </c>
      <c r="D14" s="81"/>
      <c r="E14" s="120">
        <f>TRUNC(535.75/0.58+1.9)</f>
        <v>925</v>
      </c>
      <c r="F14" s="121">
        <v>7</v>
      </c>
      <c r="G14" s="122" t="s">
        <v>57</v>
      </c>
      <c r="H14" s="84">
        <v>10</v>
      </c>
      <c r="I14" s="55">
        <f t="shared" si="0"/>
        <v>18907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2.044</v>
      </c>
    </row>
    <row r="15" spans="2:90" ht="12.75" customHeight="1">
      <c r="B15" s="26">
        <f t="shared" si="2"/>
        <v>7</v>
      </c>
      <c r="C15" s="119" t="s">
        <v>228</v>
      </c>
      <c r="D15" s="81"/>
      <c r="E15" s="120">
        <f>TRUNC(535.75/0.58+1.9)</f>
        <v>925</v>
      </c>
      <c r="F15" s="121">
        <v>7</v>
      </c>
      <c r="G15" s="122" t="s">
        <v>57</v>
      </c>
      <c r="H15" s="84">
        <v>11.91</v>
      </c>
      <c r="I15" s="55">
        <f t="shared" si="0"/>
        <v>22518.237000000001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2.044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119" t="s">
        <v>229</v>
      </c>
      <c r="D16" s="81"/>
      <c r="E16" s="120">
        <f>TRUNC(72/1+1.9)</f>
        <v>73</v>
      </c>
      <c r="F16" s="121">
        <v>4</v>
      </c>
      <c r="G16" s="122" t="s">
        <v>57</v>
      </c>
      <c r="H16" s="84">
        <v>5</v>
      </c>
      <c r="I16" s="55">
        <f t="shared" si="0"/>
        <v>243.82000000000002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0.66800000000000004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87" t="s">
        <v>230</v>
      </c>
      <c r="D17" s="81"/>
      <c r="E17" s="120"/>
      <c r="F17" s="83"/>
      <c r="G17" s="122"/>
      <c r="H17" s="93"/>
      <c r="I17" s="55">
        <f t="shared" si="0"/>
        <v>0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0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119" t="s">
        <v>231</v>
      </c>
      <c r="D18" s="81"/>
      <c r="E18" s="120">
        <f>TRUNC(92.91/1+1.9)</f>
        <v>94</v>
      </c>
      <c r="F18" s="83">
        <v>4</v>
      </c>
      <c r="G18" s="122" t="s">
        <v>57</v>
      </c>
      <c r="H18" s="93">
        <v>19.167000000000002</v>
      </c>
      <c r="I18" s="55">
        <f t="shared" si="0"/>
        <v>1203.5342640000001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0.66800000000000004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119" t="s">
        <v>231</v>
      </c>
      <c r="D19" s="81"/>
      <c r="E19" s="120">
        <f>TRUNC(92.91/1+1.9)</f>
        <v>94</v>
      </c>
      <c r="F19" s="83">
        <v>4</v>
      </c>
      <c r="G19" s="122" t="s">
        <v>57</v>
      </c>
      <c r="H19" s="93">
        <v>11.91</v>
      </c>
      <c r="I19" s="55">
        <f t="shared" si="0"/>
        <v>747.85272000000009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0.66800000000000004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19" t="s">
        <v>232</v>
      </c>
      <c r="D20" s="81"/>
      <c r="E20" s="120">
        <f>TRUNC(92.91/1+1.9)</f>
        <v>94</v>
      </c>
      <c r="F20" s="83">
        <v>4</v>
      </c>
      <c r="G20" s="122" t="s">
        <v>57</v>
      </c>
      <c r="H20" s="93">
        <v>10</v>
      </c>
      <c r="I20" s="55">
        <f t="shared" si="0"/>
        <v>627.92000000000007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0.66800000000000004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119" t="s">
        <v>232</v>
      </c>
      <c r="D21" s="81"/>
      <c r="E21" s="120">
        <f>TRUNC(92.91/1+1.9)</f>
        <v>94</v>
      </c>
      <c r="F21" s="83">
        <v>4</v>
      </c>
      <c r="G21" s="122" t="s">
        <v>57</v>
      </c>
      <c r="H21" s="93">
        <v>11.91</v>
      </c>
      <c r="I21" s="55">
        <f t="shared" si="0"/>
        <v>747.85272000000009</v>
      </c>
      <c r="J21" s="59"/>
      <c r="K21" s="4"/>
      <c r="L21" s="4"/>
      <c r="N21" s="4"/>
      <c r="O21" s="62"/>
      <c r="P21" s="4"/>
      <c r="Q21" s="4"/>
      <c r="AK21" s="44">
        <f t="shared" si="1"/>
        <v>0.66800000000000004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87" t="s">
        <v>233</v>
      </c>
      <c r="D22" s="81"/>
      <c r="E22" s="81"/>
      <c r="F22" s="83"/>
      <c r="G22" s="122"/>
      <c r="H22" s="93"/>
      <c r="I22" s="55">
        <f t="shared" si="0"/>
        <v>0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0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119" t="s">
        <v>266</v>
      </c>
      <c r="D23" s="81">
        <f>18*2</f>
        <v>36</v>
      </c>
      <c r="E23" s="81">
        <f>TRUNC(11.75/1+1.9)+11</f>
        <v>24</v>
      </c>
      <c r="F23" s="83">
        <v>4</v>
      </c>
      <c r="G23" s="122" t="s">
        <v>61</v>
      </c>
      <c r="H23" s="93">
        <v>40</v>
      </c>
      <c r="I23" s="55">
        <f t="shared" si="0"/>
        <v>23086.080000000002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0.66800000000000004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119" t="s">
        <v>91</v>
      </c>
      <c r="D24" s="81">
        <v>2</v>
      </c>
      <c r="E24" s="81">
        <f>TRUNC(11.75/1+1.9)+11</f>
        <v>24</v>
      </c>
      <c r="F24" s="83">
        <v>4</v>
      </c>
      <c r="G24" s="122" t="s">
        <v>57</v>
      </c>
      <c r="H24" s="93">
        <f>678.66-(40*18)+(18*2.66)</f>
        <v>6.5399999999999707</v>
      </c>
      <c r="I24" s="55">
        <f t="shared" si="0"/>
        <v>209.69855999999908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0.66800000000000004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119" t="s">
        <v>234</v>
      </c>
      <c r="D25" s="81">
        <f>9*2</f>
        <v>18</v>
      </c>
      <c r="E25" s="81">
        <v>24</v>
      </c>
      <c r="F25" s="83">
        <v>4</v>
      </c>
      <c r="G25" s="122" t="s">
        <v>65</v>
      </c>
      <c r="H25" s="84">
        <v>5.33</v>
      </c>
      <c r="I25" s="55">
        <f t="shared" si="0"/>
        <v>1538.1100800000002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0.66800000000000004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87" t="s">
        <v>235</v>
      </c>
      <c r="D26" s="81"/>
      <c r="E26" s="81"/>
      <c r="F26" s="83"/>
      <c r="G26" s="122"/>
      <c r="H26" s="84"/>
      <c r="I26" s="55">
        <f t="shared" si="0"/>
        <v>0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0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119" t="s">
        <v>236</v>
      </c>
      <c r="D27" s="81">
        <v>11</v>
      </c>
      <c r="E27" s="81">
        <v>1</v>
      </c>
      <c r="F27" s="83">
        <v>5</v>
      </c>
      <c r="G27" s="122" t="s">
        <v>57</v>
      </c>
      <c r="H27" s="84">
        <v>23.167000000000002</v>
      </c>
      <c r="I27" s="55">
        <f t="shared" si="0"/>
        <v>265.79499100000004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1.0429999999999999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119" t="s">
        <v>237</v>
      </c>
      <c r="D28" s="81">
        <v>3</v>
      </c>
      <c r="E28" s="81">
        <v>2</v>
      </c>
      <c r="F28" s="83">
        <v>5</v>
      </c>
      <c r="G28" s="122" t="s">
        <v>57</v>
      </c>
      <c r="H28" s="84">
        <v>23.167000000000002</v>
      </c>
      <c r="I28" s="55">
        <f t="shared" si="0"/>
        <v>144.979086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1.0429999999999999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87" t="s">
        <v>238</v>
      </c>
      <c r="D29" s="81"/>
      <c r="E29" s="81"/>
      <c r="F29" s="83"/>
      <c r="G29" s="122"/>
      <c r="H29" s="84"/>
      <c r="I29" s="55">
        <f t="shared" si="0"/>
        <v>0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97" t="s">
        <v>239</v>
      </c>
      <c r="D30" s="81"/>
      <c r="E30" s="81">
        <f>(TRUNC(322.83/1+1.9)*2)-(11*2)-(13*4)</f>
        <v>574</v>
      </c>
      <c r="F30" s="83">
        <v>5</v>
      </c>
      <c r="G30" s="122" t="s">
        <v>65</v>
      </c>
      <c r="H30" s="84">
        <f>11.75-0.17+1.5</f>
        <v>13.08</v>
      </c>
      <c r="I30" s="55">
        <f t="shared" si="0"/>
        <v>7830.7605599999997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1.0429999999999999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97" t="s">
        <v>240</v>
      </c>
      <c r="D31" s="81">
        <v>9</v>
      </c>
      <c r="E31" s="81">
        <f>TRUNC((11.75-1.083-0.17*2)/0.67+1.9)*2</f>
        <v>34</v>
      </c>
      <c r="F31" s="83">
        <v>4</v>
      </c>
      <c r="G31" s="122" t="s">
        <v>61</v>
      </c>
      <c r="H31" s="84">
        <v>40</v>
      </c>
      <c r="I31" s="55">
        <f t="shared" si="0"/>
        <v>8176.3200000000015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0.66800000000000004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97" t="s">
        <v>91</v>
      </c>
      <c r="D32" s="81"/>
      <c r="E32" s="81">
        <f>TRUNC((11.75-1.083-0.17*2)/0.67+1.9)*2</f>
        <v>34</v>
      </c>
      <c r="F32" s="83">
        <v>4</v>
      </c>
      <c r="G32" s="122" t="s">
        <v>65</v>
      </c>
      <c r="H32" s="84">
        <f>322.83+32.167-(40*9)+(9*2.67)</f>
        <v>19.026999999999958</v>
      </c>
      <c r="I32" s="55">
        <f t="shared" si="0"/>
        <v>432.14122399999906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0.66800000000000004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87" t="s">
        <v>241</v>
      </c>
      <c r="D33" s="81"/>
      <c r="E33" s="81"/>
      <c r="F33" s="83"/>
      <c r="G33" s="122"/>
      <c r="H33" s="84"/>
      <c r="I33" s="55">
        <f t="shared" si="0"/>
        <v>0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87" t="s">
        <v>242</v>
      </c>
      <c r="D34" s="81">
        <v>9</v>
      </c>
      <c r="E34" s="81">
        <v>2</v>
      </c>
      <c r="F34" s="83">
        <v>8</v>
      </c>
      <c r="G34" s="122" t="s">
        <v>57</v>
      </c>
      <c r="H34" s="84">
        <f>1+(1.083-0.17)+3.5</f>
        <v>5.4130000000000003</v>
      </c>
      <c r="I34" s="55">
        <f t="shared" si="0"/>
        <v>260.14877999999999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2.67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97" t="s">
        <v>243</v>
      </c>
      <c r="D35" s="81">
        <v>9</v>
      </c>
      <c r="E35" s="81">
        <v>2</v>
      </c>
      <c r="F35" s="83">
        <v>8</v>
      </c>
      <c r="G35" s="122" t="s">
        <v>57</v>
      </c>
      <c r="H35" s="84">
        <f>11.75-0.17+1.5</f>
        <v>13.08</v>
      </c>
      <c r="I35" s="55">
        <f t="shared" si="0"/>
        <v>628.62480000000005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2.67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97" t="s">
        <v>244</v>
      </c>
      <c r="D36" s="81">
        <v>9</v>
      </c>
      <c r="E36" s="81">
        <f>TRUNC((11.75-1.083-0.17*2)/0.67+1.9)</f>
        <v>17</v>
      </c>
      <c r="F36" s="83">
        <v>3</v>
      </c>
      <c r="G36" s="122" t="s">
        <v>65</v>
      </c>
      <c r="H36" s="84">
        <f>(0.83-0.17*2)+(0.42*2)</f>
        <v>1.3299999999999998</v>
      </c>
      <c r="I36" s="55">
        <f t="shared" si="0"/>
        <v>76.512240000000006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0.376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97" t="s">
        <v>245</v>
      </c>
      <c r="D37" s="81">
        <v>3</v>
      </c>
      <c r="E37" s="81">
        <v>2</v>
      </c>
      <c r="F37" s="83">
        <v>9</v>
      </c>
      <c r="G37" s="122" t="s">
        <v>57</v>
      </c>
      <c r="H37" s="84">
        <f>11.75-0.17+1.5</f>
        <v>13.08</v>
      </c>
      <c r="I37" s="55">
        <f t="shared" si="0"/>
        <v>266.83199999999999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3.4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97" t="s">
        <v>244</v>
      </c>
      <c r="D38" s="81">
        <v>3</v>
      </c>
      <c r="E38" s="81">
        <f>TRUNC((11.75-1.083-0.17*2)/0.67+1.9)</f>
        <v>17</v>
      </c>
      <c r="F38" s="83">
        <v>3</v>
      </c>
      <c r="G38" s="122" t="s">
        <v>65</v>
      </c>
      <c r="H38" s="84">
        <f>(0.83-0.17*2)+(0.42*2)</f>
        <v>1.3299999999999998</v>
      </c>
      <c r="I38" s="55">
        <f t="shared" si="0"/>
        <v>25.504080000000002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0.376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97" t="s">
        <v>246</v>
      </c>
      <c r="D39" s="81"/>
      <c r="E39" s="81">
        <v>4</v>
      </c>
      <c r="F39" s="83">
        <v>7</v>
      </c>
      <c r="G39" s="122" t="s">
        <v>57</v>
      </c>
      <c r="H39" s="84">
        <f>11.75-0.17+1.5</f>
        <v>13.08</v>
      </c>
      <c r="I39" s="55">
        <f t="shared" si="0"/>
        <v>106.94208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2.044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97" t="s">
        <v>137</v>
      </c>
      <c r="D40" s="81"/>
      <c r="E40" s="81">
        <f>TRUNC((11.75-1.083-0.17*2)/0.67+1.9)</f>
        <v>17</v>
      </c>
      <c r="F40" s="83">
        <v>3</v>
      </c>
      <c r="G40" s="122" t="s">
        <v>65</v>
      </c>
      <c r="H40" s="84">
        <f>(0.33+0.1)*2+(0.83-0.17*2)*2+0.33*2</f>
        <v>2.5</v>
      </c>
      <c r="I40" s="55">
        <f t="shared" si="0"/>
        <v>15.979999999999999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0.376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97" t="s">
        <v>247</v>
      </c>
      <c r="D41" s="81">
        <v>10</v>
      </c>
      <c r="E41" s="81">
        <v>4</v>
      </c>
      <c r="F41" s="83">
        <v>8</v>
      </c>
      <c r="G41" s="122" t="s">
        <v>57</v>
      </c>
      <c r="H41" s="84">
        <f>11.75-0.17+1.5</f>
        <v>13.08</v>
      </c>
      <c r="I41" s="55">
        <f t="shared" si="0"/>
        <v>1396.944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2.67</v>
      </c>
    </row>
    <row r="42" spans="2:88" ht="12.75" customHeight="1">
      <c r="B42" s="26">
        <f t="shared" si="2"/>
        <v>34</v>
      </c>
      <c r="C42" s="97" t="s">
        <v>244</v>
      </c>
      <c r="D42" s="81">
        <v>10</v>
      </c>
      <c r="E42" s="81">
        <f>TRUNC((11.75-1.083-0.17*2)/0.67+1.9)</f>
        <v>17</v>
      </c>
      <c r="F42" s="83">
        <v>3</v>
      </c>
      <c r="G42" s="122" t="s">
        <v>65</v>
      </c>
      <c r="H42" s="84">
        <f>(0.33+0.1)*2+(0.83-0.17*2)*2+0.33*2</f>
        <v>2.5</v>
      </c>
      <c r="I42" s="55">
        <f t="shared" si="0"/>
        <v>159.79999999999998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0.376</v>
      </c>
    </row>
    <row r="43" spans="2:88" ht="12.75" customHeight="1">
      <c r="B43" s="26">
        <f t="shared" si="2"/>
        <v>35</v>
      </c>
      <c r="C43" s="97" t="s">
        <v>248</v>
      </c>
      <c r="D43" s="81">
        <v>2</v>
      </c>
      <c r="E43" s="81">
        <v>4</v>
      </c>
      <c r="F43" s="83">
        <v>9</v>
      </c>
      <c r="G43" s="122" t="s">
        <v>57</v>
      </c>
      <c r="H43" s="84">
        <f>11.75-0.17+1.5</f>
        <v>13.08</v>
      </c>
      <c r="I43" s="55">
        <f t="shared" si="0"/>
        <v>355.77600000000001</v>
      </c>
      <c r="J43" s="59"/>
      <c r="K43" s="4"/>
      <c r="L43" s="4"/>
      <c r="M43" s="4"/>
      <c r="N43" s="4"/>
      <c r="O43" s="4"/>
      <c r="P43" s="4"/>
      <c r="Q43" s="4"/>
      <c r="AK43" s="44">
        <f t="shared" si="1"/>
        <v>3.4</v>
      </c>
    </row>
    <row r="44" spans="2:88" ht="12.75" customHeight="1">
      <c r="B44" s="26">
        <f t="shared" si="2"/>
        <v>36</v>
      </c>
      <c r="C44" s="97" t="s">
        <v>244</v>
      </c>
      <c r="D44" s="81">
        <v>2</v>
      </c>
      <c r="E44" s="81">
        <f>TRUNC((11.75-1.083-0.17*2)/0.67+1.9)</f>
        <v>17</v>
      </c>
      <c r="F44" s="83">
        <v>3</v>
      </c>
      <c r="G44" s="122" t="s">
        <v>65</v>
      </c>
      <c r="H44" s="84">
        <f>(0.33+0.1)*2+(0.83-0.17*2)*2+0.33*2</f>
        <v>2.5</v>
      </c>
      <c r="I44" s="55">
        <f t="shared" si="0"/>
        <v>31.959999999999997</v>
      </c>
      <c r="J44" s="59"/>
      <c r="K44" s="4"/>
      <c r="L44" s="16"/>
      <c r="M44" s="34"/>
      <c r="N44" s="34"/>
      <c r="O44" s="4"/>
      <c r="P44" s="4"/>
      <c r="Q44" s="4"/>
      <c r="AK44" s="44">
        <f t="shared" si="1"/>
        <v>0.376</v>
      </c>
    </row>
    <row r="45" spans="2:88" ht="12.75" customHeight="1">
      <c r="B45" s="26">
        <f t="shared" si="2"/>
        <v>37</v>
      </c>
      <c r="C45" s="43" t="s">
        <v>259</v>
      </c>
      <c r="D45" s="81"/>
      <c r="E45" s="81"/>
      <c r="F45" s="83"/>
      <c r="G45" s="122"/>
      <c r="H45" s="84"/>
      <c r="I45" s="55">
        <f t="shared" si="0"/>
        <v>0</v>
      </c>
      <c r="J45" s="59"/>
      <c r="K45" s="4"/>
      <c r="L45" s="16"/>
      <c r="M45" s="34"/>
      <c r="N45" s="16"/>
      <c r="O45" s="4"/>
      <c r="P45" s="4"/>
      <c r="Q45" s="4"/>
      <c r="AK45" s="44">
        <f t="shared" si="1"/>
        <v>0</v>
      </c>
    </row>
    <row r="46" spans="2:88" ht="12.75" customHeight="1">
      <c r="B46" s="26">
        <f t="shared" si="2"/>
        <v>38</v>
      </c>
      <c r="C46" s="43" t="s">
        <v>260</v>
      </c>
      <c r="D46" s="81"/>
      <c r="E46" s="120"/>
      <c r="F46" s="83"/>
      <c r="G46" s="122"/>
      <c r="H46" s="84"/>
      <c r="I46" s="55">
        <f t="shared" si="0"/>
        <v>0</v>
      </c>
      <c r="J46" s="59"/>
      <c r="K46" s="4"/>
      <c r="L46" s="16"/>
      <c r="M46" s="34"/>
      <c r="N46" s="34"/>
      <c r="O46" s="4"/>
      <c r="P46" s="4"/>
      <c r="Q46" s="4"/>
      <c r="AK46" s="44">
        <f t="shared" si="1"/>
        <v>0</v>
      </c>
    </row>
    <row r="47" spans="2:88" ht="12.75" customHeight="1">
      <c r="B47" s="26">
        <f t="shared" si="2"/>
        <v>39</v>
      </c>
      <c r="C47" s="119" t="s">
        <v>261</v>
      </c>
      <c r="D47" s="81"/>
      <c r="E47" s="120">
        <f>TRUNC(4.55/1+1.9)</f>
        <v>6</v>
      </c>
      <c r="F47" s="83">
        <v>4</v>
      </c>
      <c r="G47" s="122" t="s">
        <v>61</v>
      </c>
      <c r="H47" s="84">
        <v>40</v>
      </c>
      <c r="I47" s="55">
        <f t="shared" si="0"/>
        <v>160.32000000000002</v>
      </c>
      <c r="J47" s="59"/>
      <c r="K47" s="4"/>
      <c r="L47" s="16"/>
      <c r="M47" s="34"/>
      <c r="N47" s="34"/>
      <c r="O47" s="4"/>
      <c r="P47" s="4"/>
      <c r="Q47" s="4"/>
      <c r="AK47" s="44">
        <f t="shared" si="1"/>
        <v>0.66800000000000004</v>
      </c>
    </row>
    <row r="48" spans="2:88" ht="12.75" customHeight="1">
      <c r="B48" s="26">
        <f t="shared" si="2"/>
        <v>40</v>
      </c>
      <c r="C48" s="119" t="s">
        <v>91</v>
      </c>
      <c r="D48" s="81"/>
      <c r="E48" s="120">
        <f>TRUNC(4.55/1+1.9)</f>
        <v>6</v>
      </c>
      <c r="F48" s="83">
        <v>4</v>
      </c>
      <c r="G48" s="122" t="s">
        <v>57</v>
      </c>
      <c r="H48" s="93">
        <f>59-(40*1)+(1*2.66)</f>
        <v>21.66</v>
      </c>
      <c r="I48" s="55">
        <f t="shared" si="0"/>
        <v>86.813280000000006</v>
      </c>
      <c r="J48" s="59"/>
      <c r="K48" s="4"/>
      <c r="M48" s="4"/>
      <c r="N48" s="4"/>
      <c r="O48" s="4"/>
      <c r="P48" s="4"/>
      <c r="Q48" s="4"/>
      <c r="AK48" s="44">
        <f t="shared" si="1"/>
        <v>0.66800000000000004</v>
      </c>
    </row>
    <row r="49" spans="2:37" ht="12.75" customHeight="1">
      <c r="B49" s="26">
        <f t="shared" si="2"/>
        <v>41</v>
      </c>
      <c r="C49" s="119" t="s">
        <v>127</v>
      </c>
      <c r="D49" s="81"/>
      <c r="E49" s="120">
        <f>TRUNC(59/1+1.9)</f>
        <v>60</v>
      </c>
      <c r="F49" s="83">
        <v>4</v>
      </c>
      <c r="G49" s="122" t="s">
        <v>65</v>
      </c>
      <c r="H49" s="84">
        <v>6</v>
      </c>
      <c r="I49" s="55">
        <f t="shared" si="0"/>
        <v>240.48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0.66800000000000004</v>
      </c>
    </row>
    <row r="50" spans="2:37" ht="12.75" customHeight="1">
      <c r="B50" s="26">
        <f t="shared" si="2"/>
        <v>42</v>
      </c>
      <c r="C50" s="119" t="s">
        <v>234</v>
      </c>
      <c r="D50" s="81">
        <v>4</v>
      </c>
      <c r="E50" s="81">
        <v>6</v>
      </c>
      <c r="F50" s="83">
        <v>4</v>
      </c>
      <c r="G50" s="122" t="s">
        <v>65</v>
      </c>
      <c r="H50" s="84">
        <v>5.4</v>
      </c>
      <c r="I50" s="55">
        <f t="shared" si="0"/>
        <v>86.572800000000015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0.66800000000000004</v>
      </c>
    </row>
    <row r="51" spans="2:37" ht="12.75" customHeight="1">
      <c r="B51" s="26">
        <f t="shared" si="2"/>
        <v>43</v>
      </c>
      <c r="C51" s="119" t="s">
        <v>534</v>
      </c>
      <c r="D51" s="81"/>
      <c r="E51" s="120">
        <v>50</v>
      </c>
      <c r="F51" s="83">
        <v>5</v>
      </c>
      <c r="G51" s="122" t="s">
        <v>61</v>
      </c>
      <c r="H51" s="84">
        <v>40</v>
      </c>
      <c r="I51" s="55">
        <f t="shared" si="0"/>
        <v>2086</v>
      </c>
      <c r="J51" s="59"/>
      <c r="L51" s="4"/>
      <c r="M51" s="4"/>
      <c r="N51" s="4"/>
      <c r="O51" s="4"/>
      <c r="P51" s="4"/>
      <c r="Q51" s="4"/>
      <c r="AK51" s="44">
        <f t="shared" si="1"/>
        <v>1.0429999999999999</v>
      </c>
    </row>
    <row r="52" spans="2:37" ht="12.75" customHeight="1">
      <c r="B52" s="26">
        <f t="shared" si="2"/>
        <v>44</v>
      </c>
      <c r="C52" s="119"/>
      <c r="D52" s="81"/>
      <c r="E52" s="120"/>
      <c r="F52" s="83"/>
      <c r="G52" s="122"/>
      <c r="H52" s="84"/>
      <c r="I52" s="55">
        <f t="shared" si="0"/>
        <v>0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0</v>
      </c>
    </row>
    <row r="53" spans="2:37" ht="12.75" customHeight="1">
      <c r="B53" s="26">
        <f t="shared" si="2"/>
        <v>45</v>
      </c>
      <c r="C53" s="87"/>
      <c r="D53" s="81"/>
      <c r="E53" s="81"/>
      <c r="F53" s="83"/>
      <c r="G53" s="52"/>
      <c r="H53" s="84"/>
      <c r="I53" s="55">
        <f t="shared" si="0"/>
        <v>0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0</v>
      </c>
    </row>
    <row r="54" spans="2:37" ht="12.75" customHeight="1">
      <c r="B54" s="26">
        <f t="shared" si="2"/>
        <v>46</v>
      </c>
      <c r="C54" s="119"/>
      <c r="D54" s="81"/>
      <c r="E54" s="120"/>
      <c r="F54" s="83"/>
      <c r="G54" s="122"/>
      <c r="H54" s="84"/>
      <c r="I54" s="55">
        <f t="shared" si="0"/>
        <v>0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0</v>
      </c>
    </row>
    <row r="55" spans="2:37" ht="12.75" customHeight="1">
      <c r="B55" s="26">
        <f t="shared" si="2"/>
        <v>47</v>
      </c>
      <c r="C55" s="97"/>
      <c r="D55" s="81"/>
      <c r="E55" s="81"/>
      <c r="F55" s="83"/>
      <c r="G55" s="52"/>
      <c r="H55" s="84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97"/>
      <c r="D56" s="81"/>
      <c r="E56" s="81"/>
      <c r="F56" s="83"/>
      <c r="G56" s="52"/>
      <c r="H56" s="84"/>
      <c r="I56" s="55">
        <f t="shared" si="0"/>
        <v>0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0</v>
      </c>
    </row>
    <row r="57" spans="2:37" ht="12.75" customHeight="1">
      <c r="B57" s="26">
        <f t="shared" si="2"/>
        <v>49</v>
      </c>
      <c r="C57" s="87"/>
      <c r="D57" s="81"/>
      <c r="E57" s="81"/>
      <c r="F57" s="83"/>
      <c r="G57" s="52"/>
      <c r="H57" s="84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97"/>
      <c r="D58" s="81"/>
      <c r="E58" s="81"/>
      <c r="F58" s="83"/>
      <c r="G58" s="52"/>
      <c r="H58" s="84"/>
      <c r="I58" s="55">
        <f t="shared" si="0"/>
        <v>0</v>
      </c>
      <c r="J58" s="59"/>
      <c r="K58" s="4"/>
      <c r="L58" s="4"/>
      <c r="M58" s="4"/>
      <c r="N58" s="4"/>
      <c r="O58" s="4"/>
      <c r="P58" s="4"/>
      <c r="Q58" s="4"/>
      <c r="AK58" s="44">
        <f t="shared" si="1"/>
        <v>0</v>
      </c>
    </row>
    <row r="59" spans="2:37" ht="13.5" thickBot="1">
      <c r="G59" s="46"/>
      <c r="H59" s="88" t="s">
        <v>90</v>
      </c>
      <c r="I59" s="89">
        <f>SUM(I9:I58)</f>
        <v>151422.59516500004</v>
      </c>
      <c r="AK59" s="44">
        <f t="shared" si="1"/>
        <v>0</v>
      </c>
    </row>
    <row r="60" spans="2:37">
      <c r="I60" s="90"/>
    </row>
    <row r="63" spans="2:37">
      <c r="I63" s="90">
        <f>I59/2000</f>
        <v>75.711297582500023</v>
      </c>
    </row>
  </sheetData>
  <mergeCells count="4">
    <mergeCell ref="C1:H2"/>
    <mergeCell ref="D4:I4"/>
    <mergeCell ref="D5:I5"/>
    <mergeCell ref="D6:I6"/>
  </mergeCells>
  <dataValidations count="5">
    <dataValidation type="list" allowBlank="1" showInputMessage="1" showErrorMessage="1" sqref="F9:F28 F45:F54">
      <formula1>$CI$17:$CI$40</formula1>
    </dataValidation>
    <dataValidation type="list" allowBlank="1" showInputMessage="1" showErrorMessage="1" sqref="G9:G28 G45:G54">
      <formula1>$CL$16:$CL$26</formula1>
    </dataValidation>
    <dataValidation type="list" allowBlank="1" showInputMessage="1" showErrorMessage="1" sqref="F55:F58 F29:F44">
      <formula1>$CI$16:$CI$38</formula1>
    </dataValidation>
    <dataValidation type="list" allowBlank="1" showInputMessage="1" showErrorMessage="1" sqref="G55:G58 G29:G44">
      <formula1>$CL$15:$CL$24</formula1>
    </dataValidation>
    <dataValidation type="list" allowBlank="1" showInputMessage="1" showErrorMessage="1" sqref="J9:J58">
      <formula1>"A-615 GR-60,A-615 GR-40,A706 GR-60"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  <ignoredErrors>
    <ignoredError sqref="H36:H4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1:CL64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D11" sqref="D11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341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E7" s="46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I59/2000</f>
        <v>0.94907418999999993</v>
      </c>
      <c r="AK8" s="51" t="s">
        <v>52</v>
      </c>
    </row>
    <row r="9" spans="2:90" ht="12.75" customHeight="1">
      <c r="B9" s="26">
        <f>IF(B8="SL.NO",1,B8+1)</f>
        <v>1</v>
      </c>
      <c r="C9" s="135" t="s">
        <v>364</v>
      </c>
      <c r="D9" s="136"/>
      <c r="E9" s="136"/>
      <c r="F9" s="137"/>
      <c r="G9" s="40"/>
      <c r="H9" s="138"/>
      <c r="I9" s="55">
        <f t="shared" ref="I9:I58" si="0">IF(D9="",AK9*H9*E9,AK9*H9*E9*D9)</f>
        <v>0</v>
      </c>
      <c r="J9" s="56"/>
      <c r="AK9" s="44">
        <f t="shared" ref="AK9:AK59" si="1">IF(F9="",0,VLOOKUP(F9,$CI$16:$CJ$58,2,FALSE))</f>
        <v>0</v>
      </c>
    </row>
    <row r="10" spans="2:90" ht="12.75" customHeight="1">
      <c r="B10" s="26">
        <f t="shared" ref="B10:B58" si="2">IF(B9="SL.NO",1,B9+1)</f>
        <v>2</v>
      </c>
      <c r="C10" s="101" t="s">
        <v>342</v>
      </c>
      <c r="D10" s="22"/>
      <c r="E10" s="22"/>
      <c r="F10" s="141"/>
      <c r="G10" s="40"/>
      <c r="H10" s="27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140" t="s">
        <v>343</v>
      </c>
      <c r="D11" s="22"/>
      <c r="E11" s="22"/>
      <c r="F11" s="141"/>
      <c r="G11" s="142"/>
      <c r="H11" s="143"/>
      <c r="I11" s="55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140" t="s">
        <v>344</v>
      </c>
      <c r="D12" s="22"/>
      <c r="E12" s="22"/>
      <c r="F12" s="141"/>
      <c r="G12" s="163"/>
      <c r="H12" s="143"/>
      <c r="I12" s="55">
        <f t="shared" si="0"/>
        <v>0</v>
      </c>
      <c r="J12" s="59"/>
      <c r="K12" s="4"/>
      <c r="M12" s="4"/>
      <c r="N12" s="4"/>
      <c r="O12" s="4"/>
      <c r="P12" s="4"/>
      <c r="Q12" s="4"/>
      <c r="AK12" s="44">
        <f t="shared" si="1"/>
        <v>0</v>
      </c>
    </row>
    <row r="13" spans="2:90" ht="12.75" customHeight="1">
      <c r="B13" s="26">
        <f t="shared" si="2"/>
        <v>5</v>
      </c>
      <c r="C13" s="41" t="s">
        <v>345</v>
      </c>
      <c r="D13" s="35"/>
      <c r="E13" s="35">
        <v>4</v>
      </c>
      <c r="F13" s="36">
        <v>9</v>
      </c>
      <c r="G13" s="164" t="s">
        <v>57</v>
      </c>
      <c r="H13" s="37">
        <f>30.5-0.125+4</f>
        <v>34.375</v>
      </c>
      <c r="I13" s="55">
        <f t="shared" si="0"/>
        <v>467.5</v>
      </c>
      <c r="J13" s="59"/>
      <c r="K13" s="4"/>
      <c r="M13" s="4"/>
      <c r="N13" s="4"/>
      <c r="O13" s="5"/>
      <c r="P13" s="4"/>
      <c r="Q13" s="4"/>
      <c r="AK13" s="44">
        <f t="shared" si="1"/>
        <v>3.4</v>
      </c>
    </row>
    <row r="14" spans="2:90" ht="12.75" customHeight="1" thickBot="1">
      <c r="B14" s="26">
        <f t="shared" si="2"/>
        <v>6</v>
      </c>
      <c r="C14" s="41" t="s">
        <v>346</v>
      </c>
      <c r="D14" s="35"/>
      <c r="E14" s="35">
        <v>2</v>
      </c>
      <c r="F14" s="36">
        <v>8</v>
      </c>
      <c r="G14" s="164" t="s">
        <v>65</v>
      </c>
      <c r="H14" s="37">
        <f>30.5-0.125*2+3.75*2</f>
        <v>37.75</v>
      </c>
      <c r="I14" s="55">
        <f t="shared" si="0"/>
        <v>201.58500000000001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2.67</v>
      </c>
    </row>
    <row r="15" spans="2:90" ht="12.75" customHeight="1">
      <c r="B15" s="26">
        <f t="shared" si="2"/>
        <v>7</v>
      </c>
      <c r="C15" s="41" t="s">
        <v>347</v>
      </c>
      <c r="D15" s="35"/>
      <c r="E15" s="35">
        <f>TRUNC(28.5/0.67+1.9)</f>
        <v>44</v>
      </c>
      <c r="F15" s="36">
        <v>3</v>
      </c>
      <c r="G15" s="164" t="s">
        <v>65</v>
      </c>
      <c r="H15" s="37">
        <f>(1-0.125*2)*2+(4-0.125*2)*2+0.33*2</f>
        <v>9.66</v>
      </c>
      <c r="I15" s="55">
        <f t="shared" si="0"/>
        <v>159.81504000000001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0.376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140" t="s">
        <v>348</v>
      </c>
      <c r="D16" s="22"/>
      <c r="E16" s="22"/>
      <c r="F16" s="141"/>
      <c r="G16" s="163"/>
      <c r="H16" s="143"/>
      <c r="I16" s="55">
        <f t="shared" si="0"/>
        <v>0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0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41" t="s">
        <v>349</v>
      </c>
      <c r="D17" s="35"/>
      <c r="E17" s="35">
        <v>5</v>
      </c>
      <c r="F17" s="36">
        <v>10</v>
      </c>
      <c r="G17" s="164" t="s">
        <v>57</v>
      </c>
      <c r="H17" s="37">
        <f>27.25-0.125*2</f>
        <v>27</v>
      </c>
      <c r="I17" s="55">
        <f t="shared" si="0"/>
        <v>580.90499999999997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4.3029999999999999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41" t="s">
        <v>350</v>
      </c>
      <c r="D18" s="35"/>
      <c r="E18" s="35">
        <v>3</v>
      </c>
      <c r="F18" s="36">
        <v>8</v>
      </c>
      <c r="G18" s="164" t="s">
        <v>57</v>
      </c>
      <c r="H18" s="37">
        <f>27.25+4*2</f>
        <v>35.25</v>
      </c>
      <c r="I18" s="55">
        <f t="shared" si="0"/>
        <v>282.35249999999996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2.67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41" t="s">
        <v>347</v>
      </c>
      <c r="D19" s="35"/>
      <c r="E19" s="35">
        <f>TRUNC(26.5/0.67+1.9)</f>
        <v>41</v>
      </c>
      <c r="F19" s="36">
        <v>3</v>
      </c>
      <c r="G19" s="164" t="s">
        <v>65</v>
      </c>
      <c r="H19" s="37">
        <f>(2-0.125*2)*2+(2-0.125*2)*2+0.33*2</f>
        <v>7.66</v>
      </c>
      <c r="I19" s="55">
        <f t="shared" si="0"/>
        <v>118.08656000000001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0.376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40" t="s">
        <v>351</v>
      </c>
      <c r="D20" s="22"/>
      <c r="E20" s="22"/>
      <c r="F20" s="141"/>
      <c r="G20" s="163"/>
      <c r="H20" s="143"/>
      <c r="I20" s="55">
        <f t="shared" si="0"/>
        <v>0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0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41" t="s">
        <v>352</v>
      </c>
      <c r="D21" s="35"/>
      <c r="E21" s="35">
        <v>6</v>
      </c>
      <c r="F21" s="36">
        <v>10</v>
      </c>
      <c r="G21" s="164" t="s">
        <v>57</v>
      </c>
      <c r="H21" s="37">
        <f>27.5-0.125*2</f>
        <v>27.25</v>
      </c>
      <c r="I21" s="55">
        <f t="shared" si="0"/>
        <v>703.54049999999995</v>
      </c>
      <c r="J21" s="59"/>
      <c r="K21" s="4"/>
      <c r="L21" s="4"/>
      <c r="N21" s="4"/>
      <c r="O21" s="62"/>
      <c r="P21" s="4"/>
      <c r="Q21" s="4"/>
      <c r="AK21" s="44">
        <f t="shared" si="1"/>
        <v>4.3029999999999999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41" t="s">
        <v>353</v>
      </c>
      <c r="D22" s="35"/>
      <c r="E22" s="35">
        <v>3</v>
      </c>
      <c r="F22" s="36">
        <v>9</v>
      </c>
      <c r="G22" s="164" t="s">
        <v>65</v>
      </c>
      <c r="H22" s="37">
        <f>27.5+4+1.75</f>
        <v>33.25</v>
      </c>
      <c r="I22" s="55">
        <f t="shared" si="0"/>
        <v>339.15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3.4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41" t="s">
        <v>347</v>
      </c>
      <c r="D23" s="35"/>
      <c r="E23" s="35">
        <f>TRUNC(25.5/0.67+1.9)</f>
        <v>39</v>
      </c>
      <c r="F23" s="36">
        <v>3</v>
      </c>
      <c r="G23" s="164" t="s">
        <v>65</v>
      </c>
      <c r="H23" s="37">
        <f>(2-0.125*2)*2+(2-0.125*2)*2+0.33*2</f>
        <v>7.66</v>
      </c>
      <c r="I23" s="55">
        <f t="shared" si="0"/>
        <v>112.32624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0.376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140" t="s">
        <v>354</v>
      </c>
      <c r="D24" s="22"/>
      <c r="E24" s="22"/>
      <c r="F24" s="141"/>
      <c r="G24" s="163"/>
      <c r="H24" s="143"/>
      <c r="I24" s="55">
        <f t="shared" si="0"/>
        <v>0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0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41" t="s">
        <v>355</v>
      </c>
      <c r="D25" s="35"/>
      <c r="E25" s="35">
        <v>2</v>
      </c>
      <c r="F25" s="36">
        <v>7</v>
      </c>
      <c r="G25" s="164" t="s">
        <v>57</v>
      </c>
      <c r="H25" s="37">
        <f>23.5-0.125+4</f>
        <v>27.375</v>
      </c>
      <c r="I25" s="55">
        <f t="shared" si="0"/>
        <v>111.90900000000001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2.044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41" t="s">
        <v>356</v>
      </c>
      <c r="D26" s="35"/>
      <c r="E26" s="35">
        <v>2</v>
      </c>
      <c r="F26" s="36">
        <v>5</v>
      </c>
      <c r="G26" s="164" t="s">
        <v>65</v>
      </c>
      <c r="H26" s="37">
        <f>23.5-0.125*2+1.75*2</f>
        <v>26.75</v>
      </c>
      <c r="I26" s="55">
        <f t="shared" si="0"/>
        <v>55.8005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1.0429999999999999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41" t="s">
        <v>357</v>
      </c>
      <c r="D27" s="35"/>
      <c r="E27" s="35">
        <v>2</v>
      </c>
      <c r="F27" s="36">
        <v>5</v>
      </c>
      <c r="G27" s="164" t="s">
        <v>57</v>
      </c>
      <c r="H27" s="37">
        <f>23.5-0.125*2</f>
        <v>23.25</v>
      </c>
      <c r="I27" s="55">
        <f t="shared" si="0"/>
        <v>48.499499999999998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1.0429999999999999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41" t="s">
        <v>358</v>
      </c>
      <c r="D28" s="22"/>
      <c r="E28" s="22">
        <v>23</v>
      </c>
      <c r="F28" s="141">
        <v>5</v>
      </c>
      <c r="G28" s="163" t="s">
        <v>65</v>
      </c>
      <c r="H28" s="143">
        <f>4.5</f>
        <v>4.5</v>
      </c>
      <c r="I28" s="55">
        <f t="shared" si="0"/>
        <v>107.95049999999999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1.0429999999999999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41" t="s">
        <v>347</v>
      </c>
      <c r="D29" s="35"/>
      <c r="E29" s="35">
        <f>TRUNC(21.75/0.67+1.9)</f>
        <v>34</v>
      </c>
      <c r="F29" s="36">
        <v>3</v>
      </c>
      <c r="G29" s="164" t="s">
        <v>65</v>
      </c>
      <c r="H29" s="37">
        <f>(0.67-0.125*2)*2+(3.5-0.125*2)*2+0.33*2</f>
        <v>8</v>
      </c>
      <c r="I29" s="55">
        <f t="shared" si="0"/>
        <v>102.27200000000001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0.376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140" t="s">
        <v>359</v>
      </c>
      <c r="D30" s="22"/>
      <c r="E30" s="22"/>
      <c r="F30" s="141"/>
      <c r="G30" s="163"/>
      <c r="H30" s="143"/>
      <c r="I30" s="55">
        <f t="shared" si="0"/>
        <v>0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0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41" t="s">
        <v>345</v>
      </c>
      <c r="D31" s="35"/>
      <c r="E31" s="35">
        <v>4</v>
      </c>
      <c r="F31" s="36">
        <v>9</v>
      </c>
      <c r="G31" s="164" t="s">
        <v>57</v>
      </c>
      <c r="H31" s="37">
        <f>23.75-0.125*2</f>
        <v>23.5</v>
      </c>
      <c r="I31" s="55">
        <f t="shared" si="0"/>
        <v>319.59999999999997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3.4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41" t="s">
        <v>360</v>
      </c>
      <c r="D32" s="35"/>
      <c r="E32" s="35">
        <v>3</v>
      </c>
      <c r="F32" s="36">
        <v>7</v>
      </c>
      <c r="G32" s="164" t="s">
        <v>65</v>
      </c>
      <c r="H32" s="37">
        <f>23.75-0.125+4+1.75</f>
        <v>29.375</v>
      </c>
      <c r="I32" s="55">
        <f t="shared" si="0"/>
        <v>180.1275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2.044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41" t="s">
        <v>347</v>
      </c>
      <c r="D33" s="35"/>
      <c r="E33" s="35">
        <f>TRUNC(21.75/0.67+1.9)</f>
        <v>34</v>
      </c>
      <c r="F33" s="36">
        <v>3</v>
      </c>
      <c r="G33" s="164" t="s">
        <v>65</v>
      </c>
      <c r="H33" s="37">
        <f>(2-0.125*2)*2+(2-0.125*2)*2+0.33*2</f>
        <v>7.66</v>
      </c>
      <c r="I33" s="55">
        <f t="shared" si="0"/>
        <v>97.925440000000009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0.376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140" t="s">
        <v>361</v>
      </c>
      <c r="D34" s="22"/>
      <c r="E34" s="22"/>
      <c r="F34" s="141"/>
      <c r="G34" s="163"/>
      <c r="H34" s="143"/>
      <c r="I34" s="55">
        <f t="shared" si="0"/>
        <v>0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0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41" t="s">
        <v>345</v>
      </c>
      <c r="D35" s="35"/>
      <c r="E35" s="35">
        <v>4</v>
      </c>
      <c r="F35" s="36">
        <v>9</v>
      </c>
      <c r="G35" s="164" t="s">
        <v>57</v>
      </c>
      <c r="H35" s="37">
        <f>23.75-0.125*2</f>
        <v>23.5</v>
      </c>
      <c r="I35" s="55">
        <f t="shared" si="0"/>
        <v>319.59999999999997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3.4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41" t="s">
        <v>360</v>
      </c>
      <c r="D36" s="35"/>
      <c r="E36" s="35">
        <v>3</v>
      </c>
      <c r="F36" s="36">
        <v>7</v>
      </c>
      <c r="G36" s="164" t="s">
        <v>65</v>
      </c>
      <c r="H36" s="37">
        <f>23.75-0.125+4+1.75</f>
        <v>29.375</v>
      </c>
      <c r="I36" s="55">
        <f t="shared" si="0"/>
        <v>180.1275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2.044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41" t="s">
        <v>347</v>
      </c>
      <c r="D37" s="35"/>
      <c r="E37" s="35">
        <f>TRUNC(21.75/0.67+1.9)</f>
        <v>34</v>
      </c>
      <c r="F37" s="36">
        <v>3</v>
      </c>
      <c r="G37" s="164" t="s">
        <v>65</v>
      </c>
      <c r="H37" s="37">
        <f>(2-0.125*2)*2+(2-0.125*2)*2+0.33*2</f>
        <v>7.66</v>
      </c>
      <c r="I37" s="55">
        <f t="shared" si="0"/>
        <v>97.925440000000009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0.376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38" t="s">
        <v>362</v>
      </c>
      <c r="D38" s="35"/>
      <c r="E38" s="35"/>
      <c r="F38" s="36"/>
      <c r="G38" s="164"/>
      <c r="H38" s="37"/>
      <c r="I38" s="55">
        <f t="shared" si="0"/>
        <v>0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0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41" t="s">
        <v>363</v>
      </c>
      <c r="D39" s="35"/>
      <c r="E39" s="35">
        <f>TRUNC(28.5/1.33+1.9)</f>
        <v>23</v>
      </c>
      <c r="F39" s="36">
        <v>5</v>
      </c>
      <c r="G39" s="164" t="s">
        <v>57</v>
      </c>
      <c r="H39" s="37">
        <f>4-0.16+3</f>
        <v>6.84</v>
      </c>
      <c r="I39" s="55">
        <f t="shared" si="0"/>
        <v>164.08475999999999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1.0429999999999999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145"/>
      <c r="D40" s="144"/>
      <c r="E40" s="144"/>
      <c r="F40" s="146"/>
      <c r="G40" s="165"/>
      <c r="H40" s="138"/>
      <c r="I40" s="55">
        <f t="shared" si="0"/>
        <v>0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147"/>
      <c r="D41" s="35"/>
      <c r="E41" s="35"/>
      <c r="F41" s="36"/>
      <c r="G41" s="165"/>
      <c r="H41" s="27"/>
      <c r="I41" s="55">
        <f t="shared" si="0"/>
        <v>0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0</v>
      </c>
    </row>
    <row r="42" spans="2:88" ht="12.75" customHeight="1">
      <c r="B42" s="26">
        <f t="shared" si="2"/>
        <v>34</v>
      </c>
      <c r="C42" s="140"/>
      <c r="D42" s="22"/>
      <c r="E42" s="22"/>
      <c r="F42" s="141"/>
      <c r="G42" s="163"/>
      <c r="H42" s="143"/>
      <c r="I42" s="55">
        <f t="shared" si="0"/>
        <v>0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0</v>
      </c>
    </row>
    <row r="43" spans="2:88" ht="12.75" customHeight="1">
      <c r="B43" s="26">
        <f t="shared" si="2"/>
        <v>35</v>
      </c>
      <c r="C43" s="140"/>
      <c r="D43" s="22"/>
      <c r="E43" s="22"/>
      <c r="F43" s="141"/>
      <c r="G43" s="142"/>
      <c r="H43" s="143"/>
      <c r="I43" s="55">
        <f t="shared" si="0"/>
        <v>0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0</v>
      </c>
    </row>
    <row r="44" spans="2:88" ht="12.75" customHeight="1">
      <c r="B44" s="26">
        <f t="shared" si="2"/>
        <v>36</v>
      </c>
      <c r="C44" s="41"/>
      <c r="D44" s="35"/>
      <c r="E44" s="35"/>
      <c r="F44" s="36"/>
      <c r="G44" s="144"/>
      <c r="H44" s="37"/>
      <c r="I44" s="55">
        <f t="shared" si="0"/>
        <v>0</v>
      </c>
      <c r="J44" s="59"/>
      <c r="K44" s="4"/>
      <c r="L44" s="3"/>
      <c r="M44" s="34"/>
      <c r="N44" s="34"/>
      <c r="O44" s="4"/>
      <c r="P44" s="4"/>
      <c r="Q44" s="4"/>
      <c r="AK44" s="44">
        <f t="shared" si="1"/>
        <v>0</v>
      </c>
    </row>
    <row r="45" spans="2:88" ht="12.75" customHeight="1">
      <c r="B45" s="26">
        <f t="shared" si="2"/>
        <v>37</v>
      </c>
      <c r="C45" s="41"/>
      <c r="D45" s="35"/>
      <c r="E45" s="35"/>
      <c r="F45" s="36"/>
      <c r="G45" s="144"/>
      <c r="H45" s="37"/>
      <c r="I45" s="55">
        <f t="shared" si="0"/>
        <v>0</v>
      </c>
      <c r="J45" s="59"/>
      <c r="K45" s="4"/>
      <c r="L45" s="3"/>
      <c r="M45" s="34"/>
      <c r="N45" s="3"/>
      <c r="O45" s="4"/>
      <c r="P45" s="4"/>
      <c r="Q45" s="4"/>
      <c r="AK45" s="44">
        <f t="shared" si="1"/>
        <v>0</v>
      </c>
    </row>
    <row r="46" spans="2:88" ht="12.75" customHeight="1">
      <c r="B46" s="26">
        <f t="shared" si="2"/>
        <v>38</v>
      </c>
      <c r="C46" s="41"/>
      <c r="D46" s="35"/>
      <c r="E46" s="35"/>
      <c r="F46" s="36"/>
      <c r="G46" s="144"/>
      <c r="H46" s="37"/>
      <c r="I46" s="55">
        <f t="shared" si="0"/>
        <v>0</v>
      </c>
      <c r="J46" s="59"/>
      <c r="K46" s="4"/>
      <c r="L46" s="3"/>
      <c r="M46" s="34"/>
      <c r="N46" s="34"/>
      <c r="O46" s="4"/>
      <c r="P46" s="4"/>
      <c r="Q46" s="4"/>
      <c r="AK46" s="44">
        <f t="shared" si="1"/>
        <v>0</v>
      </c>
    </row>
    <row r="47" spans="2:88" ht="12.75" customHeight="1">
      <c r="B47" s="26">
        <f t="shared" si="2"/>
        <v>39</v>
      </c>
      <c r="C47" s="140"/>
      <c r="D47" s="22"/>
      <c r="E47" s="22"/>
      <c r="F47" s="141"/>
      <c r="G47" s="142"/>
      <c r="H47" s="143"/>
      <c r="I47" s="55">
        <f t="shared" si="0"/>
        <v>0</v>
      </c>
      <c r="J47" s="59"/>
      <c r="K47" s="4"/>
      <c r="L47" s="3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41"/>
      <c r="D48" s="35"/>
      <c r="E48" s="35"/>
      <c r="F48" s="36"/>
      <c r="G48" s="144"/>
      <c r="H48" s="37"/>
      <c r="I48" s="55">
        <f t="shared" si="0"/>
        <v>0</v>
      </c>
      <c r="J48" s="59"/>
      <c r="K48" s="4"/>
      <c r="M48" s="4"/>
      <c r="N48" s="4"/>
      <c r="O48" s="4"/>
      <c r="P48" s="4"/>
      <c r="Q48" s="4"/>
      <c r="AK48" s="44">
        <f t="shared" si="1"/>
        <v>0</v>
      </c>
    </row>
    <row r="49" spans="2:37" ht="12.75" customHeight="1">
      <c r="B49" s="26">
        <f t="shared" si="2"/>
        <v>41</v>
      </c>
      <c r="C49" s="41"/>
      <c r="D49" s="35"/>
      <c r="E49" s="35"/>
      <c r="F49" s="36"/>
      <c r="G49" s="144"/>
      <c r="H49" s="37"/>
      <c r="I49" s="55">
        <f t="shared" si="0"/>
        <v>0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0</v>
      </c>
    </row>
    <row r="50" spans="2:37" ht="12.75" customHeight="1">
      <c r="B50" s="26">
        <f t="shared" si="2"/>
        <v>42</v>
      </c>
      <c r="C50" s="41"/>
      <c r="D50" s="35"/>
      <c r="E50" s="35"/>
      <c r="F50" s="36"/>
      <c r="G50" s="144"/>
      <c r="H50" s="37"/>
      <c r="I50" s="55">
        <f t="shared" si="0"/>
        <v>0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0</v>
      </c>
    </row>
    <row r="51" spans="2:37" ht="12.75" customHeight="1">
      <c r="B51" s="26">
        <f t="shared" si="2"/>
        <v>43</v>
      </c>
      <c r="C51" s="145"/>
      <c r="D51" s="144"/>
      <c r="E51" s="144"/>
      <c r="F51" s="146"/>
      <c r="G51" s="40"/>
      <c r="H51" s="138"/>
      <c r="I51" s="55">
        <f t="shared" si="0"/>
        <v>0</v>
      </c>
      <c r="J51" s="59"/>
      <c r="L51" s="4"/>
      <c r="M51" s="148"/>
      <c r="N51" s="149"/>
      <c r="O51" s="4"/>
      <c r="P51" s="4"/>
      <c r="Q51" s="4"/>
      <c r="AK51" s="44">
        <f t="shared" si="1"/>
        <v>0</v>
      </c>
    </row>
    <row r="52" spans="2:37" ht="12.75" customHeight="1">
      <c r="B52" s="26">
        <f t="shared" si="2"/>
        <v>44</v>
      </c>
      <c r="C52" s="147"/>
      <c r="D52" s="35"/>
      <c r="E52" s="35"/>
      <c r="F52" s="36"/>
      <c r="G52" s="40"/>
      <c r="H52" s="27"/>
      <c r="I52" s="55">
        <f t="shared" si="0"/>
        <v>0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0</v>
      </c>
    </row>
    <row r="53" spans="2:37" ht="12.75" customHeight="1">
      <c r="B53" s="26">
        <f t="shared" si="2"/>
        <v>45</v>
      </c>
      <c r="C53" s="140"/>
      <c r="D53" s="22"/>
      <c r="E53" s="22"/>
      <c r="F53" s="141"/>
      <c r="G53" s="142"/>
      <c r="H53" s="143"/>
      <c r="I53" s="55">
        <f t="shared" si="0"/>
        <v>0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0</v>
      </c>
    </row>
    <row r="54" spans="2:37" ht="12.75" customHeight="1">
      <c r="B54" s="26">
        <f t="shared" si="2"/>
        <v>46</v>
      </c>
      <c r="C54" s="140"/>
      <c r="D54" s="22"/>
      <c r="E54" s="22"/>
      <c r="F54" s="141"/>
      <c r="G54" s="142"/>
      <c r="H54" s="143"/>
      <c r="I54" s="55">
        <f t="shared" si="0"/>
        <v>0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0</v>
      </c>
    </row>
    <row r="55" spans="2:37" ht="12.75" customHeight="1">
      <c r="B55" s="26">
        <f t="shared" si="2"/>
        <v>47</v>
      </c>
      <c r="C55" s="41"/>
      <c r="D55" s="35"/>
      <c r="E55" s="35"/>
      <c r="F55" s="36"/>
      <c r="G55" s="144"/>
      <c r="H55" s="37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41"/>
      <c r="D56" s="35"/>
      <c r="E56" s="35"/>
      <c r="F56" s="36"/>
      <c r="G56" s="144"/>
      <c r="H56" s="37"/>
      <c r="I56" s="55">
        <f t="shared" si="0"/>
        <v>0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0</v>
      </c>
    </row>
    <row r="57" spans="2:37" ht="12.75" customHeight="1">
      <c r="B57" s="26">
        <f t="shared" si="2"/>
        <v>49</v>
      </c>
      <c r="C57" s="41"/>
      <c r="D57" s="35"/>
      <c r="E57" s="35"/>
      <c r="F57" s="36"/>
      <c r="G57" s="144"/>
      <c r="H57" s="37"/>
      <c r="I57" s="55">
        <f t="shared" si="0"/>
        <v>0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0</v>
      </c>
    </row>
    <row r="58" spans="2:37" ht="12.75" customHeight="1">
      <c r="B58" s="26">
        <f t="shared" si="2"/>
        <v>50</v>
      </c>
      <c r="C58" s="140"/>
      <c r="D58" s="22"/>
      <c r="E58" s="22"/>
      <c r="F58" s="141"/>
      <c r="G58" s="142"/>
      <c r="H58" s="143"/>
      <c r="I58" s="55">
        <f t="shared" si="0"/>
        <v>0</v>
      </c>
      <c r="J58" s="59"/>
      <c r="K58" s="4"/>
      <c r="L58" s="3"/>
      <c r="M58" s="34"/>
      <c r="N58" s="34"/>
      <c r="O58" s="4"/>
      <c r="P58" s="4"/>
      <c r="Q58" s="4"/>
      <c r="AK58" s="44">
        <f t="shared" si="1"/>
        <v>0</v>
      </c>
    </row>
    <row r="59" spans="2:37" ht="13.5" thickBot="1">
      <c r="F59" s="39"/>
      <c r="G59" s="150"/>
      <c r="H59" s="150" t="s">
        <v>90</v>
      </c>
      <c r="I59" s="89">
        <f>SUM(I23:I58)</f>
        <v>1898.1483799999999</v>
      </c>
      <c r="AK59" s="44">
        <f t="shared" si="1"/>
        <v>0</v>
      </c>
    </row>
    <row r="60" spans="2:37">
      <c r="I60" s="50"/>
    </row>
    <row r="61" spans="2:37">
      <c r="I61" s="44"/>
    </row>
    <row r="62" spans="2:37">
      <c r="I62" s="44"/>
    </row>
    <row r="63" spans="2:37">
      <c r="I63" s="44"/>
    </row>
    <row r="64" spans="2:37">
      <c r="I64" s="44"/>
    </row>
  </sheetData>
  <mergeCells count="4">
    <mergeCell ref="C1:H2"/>
    <mergeCell ref="D4:I4"/>
    <mergeCell ref="D5:I5"/>
    <mergeCell ref="D6:I6"/>
  </mergeCells>
  <dataValidations count="3">
    <dataValidation type="list" allowBlank="1" showInputMessage="1" showErrorMessage="1" sqref="J9:J58">
      <formula1>"A-615 GR-60,A-615 GR-40,A706 GR-60"</formula1>
    </dataValidation>
    <dataValidation type="list" allowBlank="1" showInputMessage="1" showErrorMessage="1" sqref="G9:G58">
      <formula1>$CL$15:$CL$24</formula1>
    </dataValidation>
    <dataValidation type="list" allowBlank="1" showInputMessage="1" showErrorMessage="1" sqref="F9:F58">
      <formula1>$CI$16:$CI$38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CL363"/>
  <sheetViews>
    <sheetView view="pageBreakPreview" zoomScaleSheetLayoutView="100" workbookViewId="0">
      <pane ySplit="8" topLeftCell="A9" activePane="bottomLeft" state="frozen"/>
      <selection activeCell="C26" sqref="C26"/>
      <selection pane="bottomLeft" activeCell="M30" sqref="M30"/>
    </sheetView>
  </sheetViews>
  <sheetFormatPr defaultRowHeight="12.75"/>
  <cols>
    <col min="1" max="1" width="1.28515625" style="44" customWidth="1"/>
    <col min="2" max="2" width="6.5703125" style="44" bestFit="1" customWidth="1"/>
    <col min="3" max="3" width="35.7109375" style="44" customWidth="1"/>
    <col min="4" max="6" width="7.7109375" style="44" customWidth="1"/>
    <col min="7" max="7" width="10.7109375" style="44" bestFit="1" customWidth="1"/>
    <col min="8" max="8" width="9.7109375" style="44" customWidth="1"/>
    <col min="9" max="9" width="11.7109375" style="45" customWidth="1"/>
    <col min="10" max="10" width="11.7109375" style="44" bestFit="1" customWidth="1"/>
    <col min="11" max="36" width="9.140625" style="44"/>
    <col min="37" max="37" width="11.42578125" style="44" customWidth="1"/>
    <col min="38" max="87" width="9.140625" style="44"/>
    <col min="88" max="88" width="11.140625" style="44" customWidth="1"/>
    <col min="89" max="16384" width="9.140625" style="44"/>
  </cols>
  <sheetData>
    <row r="1" spans="2:90" ht="6" customHeight="1">
      <c r="C1" s="214" t="s">
        <v>270</v>
      </c>
      <c r="D1" s="214"/>
      <c r="E1" s="214"/>
      <c r="F1" s="214"/>
      <c r="G1" s="214"/>
      <c r="H1" s="214"/>
    </row>
    <row r="2" spans="2:90" ht="6" customHeight="1">
      <c r="C2" s="214"/>
      <c r="D2" s="214"/>
      <c r="E2" s="214"/>
      <c r="F2" s="214"/>
      <c r="G2" s="214"/>
      <c r="H2" s="214"/>
    </row>
    <row r="3" spans="2:90" ht="5.25" customHeight="1"/>
    <row r="4" spans="2:90" ht="12.75" customHeight="1">
      <c r="B4" s="46"/>
      <c r="C4" s="46" t="s">
        <v>93</v>
      </c>
      <c r="D4" s="215" t="str">
        <f>'COVER SHEET'!B11</f>
        <v>HAMPSTEAD HEATH APARTMENTS</v>
      </c>
      <c r="E4" s="215"/>
      <c r="F4" s="215"/>
      <c r="G4" s="215"/>
      <c r="H4" s="215"/>
      <c r="I4" s="215"/>
    </row>
    <row r="5" spans="2:90" ht="12.75" customHeight="1">
      <c r="B5" s="46"/>
      <c r="C5" s="46" t="s">
        <v>41</v>
      </c>
      <c r="D5" s="216" t="str">
        <f>'COVER SHEET'!B13</f>
        <v>LOS ANGELES,CA 90064.</v>
      </c>
      <c r="E5" s="216"/>
      <c r="F5" s="216"/>
      <c r="G5" s="216"/>
      <c r="H5" s="216"/>
      <c r="I5" s="216"/>
    </row>
    <row r="6" spans="2:90">
      <c r="B6" s="46"/>
      <c r="C6" s="46" t="s">
        <v>42</v>
      </c>
      <c r="D6" s="217">
        <f>'COVER SHEET'!B7</f>
        <v>42236</v>
      </c>
      <c r="E6" s="217"/>
      <c r="F6" s="217"/>
      <c r="G6" s="217"/>
      <c r="H6" s="217"/>
      <c r="I6" s="217"/>
    </row>
    <row r="7" spans="2:90" ht="13.5" thickBot="1">
      <c r="D7" s="217"/>
      <c r="E7" s="217"/>
      <c r="F7" s="217"/>
      <c r="G7" s="217"/>
      <c r="H7" s="217"/>
      <c r="I7" s="217"/>
    </row>
    <row r="8" spans="2:90" ht="24" customHeight="1" thickBot="1">
      <c r="B8" s="47" t="s">
        <v>43</v>
      </c>
      <c r="C8" s="48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9" t="s">
        <v>51</v>
      </c>
      <c r="K8" s="50">
        <f>I363</f>
        <v>60.500579867000013</v>
      </c>
      <c r="AK8" s="51" t="s">
        <v>52</v>
      </c>
    </row>
    <row r="9" spans="2:90" ht="12.75" customHeight="1">
      <c r="B9" s="26">
        <f>IF(B8="SL.NO",1,B8+1)</f>
        <v>1</v>
      </c>
      <c r="C9" s="123" t="s">
        <v>271</v>
      </c>
      <c r="D9" s="66"/>
      <c r="E9" s="66"/>
      <c r="F9" s="83"/>
      <c r="G9" s="81"/>
      <c r="H9" s="84"/>
      <c r="I9" s="55">
        <f t="shared" ref="I9:I102" si="0">IF(D9="",AK9*H9*E9,AK9*H9*E9*D9)</f>
        <v>0</v>
      </c>
      <c r="J9" s="56"/>
      <c r="AK9" s="44">
        <f t="shared" ref="AK9:AK72" si="1">IF(F9="",0,VLOOKUP(F9,$CI$16:$CJ$358,2,FALSE))</f>
        <v>0</v>
      </c>
    </row>
    <row r="10" spans="2:90" ht="12.75" customHeight="1">
      <c r="B10" s="26">
        <f t="shared" ref="B10:B73" si="2">IF(B9="SL.NO",1,B9+1)</f>
        <v>2</v>
      </c>
      <c r="C10" s="124" t="s">
        <v>272</v>
      </c>
      <c r="D10" s="66"/>
      <c r="E10" s="66"/>
      <c r="F10" s="67"/>
      <c r="G10" s="66"/>
      <c r="H10" s="68"/>
      <c r="I10" s="55">
        <f t="shared" si="0"/>
        <v>0</v>
      </c>
      <c r="J10" s="59"/>
      <c r="N10" s="16"/>
      <c r="AK10" s="44">
        <f t="shared" si="1"/>
        <v>0</v>
      </c>
    </row>
    <row r="11" spans="2:90" ht="12.75" customHeight="1">
      <c r="B11" s="26">
        <f t="shared" si="2"/>
        <v>3</v>
      </c>
      <c r="C11" s="124" t="s">
        <v>273</v>
      </c>
      <c r="D11" s="125"/>
      <c r="E11" s="125"/>
      <c r="F11" s="126"/>
      <c r="G11" s="127"/>
      <c r="H11" s="128"/>
      <c r="I11" s="93">
        <f t="shared" si="0"/>
        <v>0</v>
      </c>
      <c r="J11" s="59"/>
      <c r="K11" s="4"/>
      <c r="L11" s="4"/>
      <c r="M11" s="4"/>
      <c r="N11" s="4"/>
      <c r="O11" s="4"/>
      <c r="P11" s="4"/>
      <c r="Q11" s="4"/>
      <c r="AK11" s="44">
        <f t="shared" si="1"/>
        <v>0</v>
      </c>
    </row>
    <row r="12" spans="2:90" ht="12.75" customHeight="1">
      <c r="B12" s="26">
        <f t="shared" si="2"/>
        <v>4</v>
      </c>
      <c r="C12" s="129" t="s">
        <v>274</v>
      </c>
      <c r="D12" s="125"/>
      <c r="E12" s="125">
        <f>TRUNC((12.58)/1+1.9)</f>
        <v>14</v>
      </c>
      <c r="F12" s="126">
        <v>5</v>
      </c>
      <c r="G12" s="127" t="s">
        <v>65</v>
      </c>
      <c r="H12" s="128">
        <f>3.25-0.08+0.83</f>
        <v>4</v>
      </c>
      <c r="I12" s="55">
        <f t="shared" si="0"/>
        <v>58.407999999999994</v>
      </c>
      <c r="J12" s="59"/>
      <c r="K12" s="4"/>
      <c r="M12" s="4"/>
      <c r="N12" s="4"/>
      <c r="O12" s="4"/>
      <c r="P12" s="4"/>
      <c r="Q12" s="4"/>
      <c r="AK12" s="44">
        <f t="shared" si="1"/>
        <v>1.0429999999999999</v>
      </c>
    </row>
    <row r="13" spans="2:90" ht="12.75" customHeight="1">
      <c r="B13" s="26">
        <f t="shared" si="2"/>
        <v>5</v>
      </c>
      <c r="C13" s="129" t="s">
        <v>275</v>
      </c>
      <c r="D13" s="125"/>
      <c r="E13" s="125">
        <f>TRUNC((12.58)/0.83+1.9)</f>
        <v>17</v>
      </c>
      <c r="F13" s="126">
        <v>6</v>
      </c>
      <c r="G13" s="127" t="s">
        <v>57</v>
      </c>
      <c r="H13" s="128">
        <f>33.75-0.08+1</f>
        <v>34.67</v>
      </c>
      <c r="I13" s="55">
        <f t="shared" si="0"/>
        <v>885.26378</v>
      </c>
      <c r="J13" s="59"/>
      <c r="K13" s="4"/>
      <c r="M13" s="4"/>
      <c r="N13" s="4"/>
      <c r="O13" s="5"/>
      <c r="P13" s="4"/>
      <c r="Q13" s="4"/>
      <c r="AK13" s="44">
        <f t="shared" si="1"/>
        <v>1.502</v>
      </c>
    </row>
    <row r="14" spans="2:90" ht="12.75" customHeight="1" thickBot="1">
      <c r="B14" s="26">
        <f t="shared" si="2"/>
        <v>6</v>
      </c>
      <c r="C14" s="129" t="s">
        <v>276</v>
      </c>
      <c r="D14" s="125"/>
      <c r="E14" s="125">
        <f>TRUNC((12.58)/0.83+1.9)</f>
        <v>17</v>
      </c>
      <c r="F14" s="126">
        <v>5</v>
      </c>
      <c r="G14" s="127" t="s">
        <v>57</v>
      </c>
      <c r="H14" s="128">
        <f>27.83+0.835+0.835</f>
        <v>29.5</v>
      </c>
      <c r="I14" s="55">
        <f t="shared" si="0"/>
        <v>523.06449999999995</v>
      </c>
      <c r="J14" s="59"/>
      <c r="K14" s="4"/>
      <c r="L14" s="4"/>
      <c r="M14" s="4"/>
      <c r="N14" s="4"/>
      <c r="O14" s="4"/>
      <c r="P14" s="4"/>
      <c r="Q14" s="4"/>
      <c r="AK14" s="44">
        <f t="shared" si="1"/>
        <v>1.0429999999999999</v>
      </c>
    </row>
    <row r="15" spans="2:90" ht="12.75" customHeight="1">
      <c r="B15" s="26">
        <f t="shared" si="2"/>
        <v>7</v>
      </c>
      <c r="C15" s="129" t="s">
        <v>276</v>
      </c>
      <c r="D15" s="125"/>
      <c r="E15" s="125">
        <f>TRUNC((12.58)/0.83+1.9)</f>
        <v>17</v>
      </c>
      <c r="F15" s="126">
        <v>5</v>
      </c>
      <c r="G15" s="127" t="s">
        <v>57</v>
      </c>
      <c r="H15" s="128">
        <f>27.83+0.835+0.835</f>
        <v>29.5</v>
      </c>
      <c r="I15" s="55">
        <f t="shared" si="0"/>
        <v>523.06449999999995</v>
      </c>
      <c r="J15" s="59"/>
      <c r="K15" s="4"/>
      <c r="L15" s="4"/>
      <c r="M15" s="4"/>
      <c r="N15" s="4"/>
      <c r="O15" s="4"/>
      <c r="P15" s="4"/>
      <c r="Q15" s="4"/>
      <c r="AK15" s="44">
        <f t="shared" si="1"/>
        <v>1.0429999999999999</v>
      </c>
      <c r="CI15" s="60" t="s">
        <v>47</v>
      </c>
      <c r="CJ15" s="61" t="s">
        <v>52</v>
      </c>
      <c r="CL15" s="5" t="s">
        <v>61</v>
      </c>
    </row>
    <row r="16" spans="2:90" ht="12.75" customHeight="1">
      <c r="B16" s="26">
        <f t="shared" si="2"/>
        <v>8</v>
      </c>
      <c r="C16" s="129" t="s">
        <v>277</v>
      </c>
      <c r="D16" s="125"/>
      <c r="E16" s="125">
        <f>TRUNC((12.58)/1+1.9)</f>
        <v>14</v>
      </c>
      <c r="F16" s="126">
        <v>7</v>
      </c>
      <c r="G16" s="127" t="s">
        <v>57</v>
      </c>
      <c r="H16" s="128">
        <f>28.67+1.165+1.165</f>
        <v>31</v>
      </c>
      <c r="I16" s="55">
        <f t="shared" si="0"/>
        <v>887.096</v>
      </c>
      <c r="J16" s="59"/>
      <c r="K16" s="4"/>
      <c r="L16" s="4"/>
      <c r="M16" s="4"/>
      <c r="N16" s="4"/>
      <c r="O16" s="62"/>
      <c r="P16" s="4"/>
      <c r="Q16" s="4"/>
      <c r="AK16" s="44">
        <f t="shared" si="1"/>
        <v>2.044</v>
      </c>
      <c r="CI16" s="63">
        <v>3</v>
      </c>
      <c r="CJ16" s="64">
        <v>0.376</v>
      </c>
      <c r="CL16" s="5" t="s">
        <v>57</v>
      </c>
    </row>
    <row r="17" spans="2:90" ht="12.75" customHeight="1">
      <c r="B17" s="26">
        <f t="shared" si="2"/>
        <v>9</v>
      </c>
      <c r="C17" s="129" t="s">
        <v>278</v>
      </c>
      <c r="D17" s="125"/>
      <c r="E17" s="125">
        <f>TRUNC((12.58)/1+1.9)</f>
        <v>14</v>
      </c>
      <c r="F17" s="126">
        <v>5</v>
      </c>
      <c r="G17" s="127" t="s">
        <v>57</v>
      </c>
      <c r="H17" s="128">
        <f>14+0.83+0.83</f>
        <v>15.66</v>
      </c>
      <c r="I17" s="55">
        <f t="shared" si="0"/>
        <v>228.66731999999996</v>
      </c>
      <c r="J17" s="59"/>
      <c r="K17" s="4"/>
      <c r="L17" s="4"/>
      <c r="M17" s="4"/>
      <c r="N17" s="4"/>
      <c r="O17" s="62"/>
      <c r="P17" s="4"/>
      <c r="Q17" s="4"/>
      <c r="AK17" s="44">
        <f t="shared" si="1"/>
        <v>1.0429999999999999</v>
      </c>
      <c r="CI17" s="63" t="s">
        <v>64</v>
      </c>
      <c r="CJ17" s="64">
        <v>0.376</v>
      </c>
      <c r="CL17" s="5" t="s">
        <v>65</v>
      </c>
    </row>
    <row r="18" spans="2:90" ht="12.75" customHeight="1">
      <c r="B18" s="26">
        <f t="shared" si="2"/>
        <v>10</v>
      </c>
      <c r="C18" s="129" t="s">
        <v>277</v>
      </c>
      <c r="D18" s="125"/>
      <c r="E18" s="125">
        <f>TRUNC((12.58)/1+1.9)</f>
        <v>14</v>
      </c>
      <c r="F18" s="126">
        <v>7</v>
      </c>
      <c r="G18" s="127" t="s">
        <v>57</v>
      </c>
      <c r="H18" s="128">
        <f>24.42+1.17-0.08+1.17</f>
        <v>26.680000000000007</v>
      </c>
      <c r="I18" s="55">
        <f t="shared" si="0"/>
        <v>763.47488000000021</v>
      </c>
      <c r="J18" s="59"/>
      <c r="K18" s="4"/>
      <c r="L18" s="4"/>
      <c r="M18" s="4"/>
      <c r="N18" s="4"/>
      <c r="O18" s="62"/>
      <c r="P18" s="65"/>
      <c r="Q18" s="4"/>
      <c r="AK18" s="44">
        <f t="shared" si="1"/>
        <v>2.044</v>
      </c>
      <c r="CI18" s="63">
        <v>4</v>
      </c>
      <c r="CJ18" s="64">
        <v>0.66800000000000004</v>
      </c>
      <c r="CL18" s="5" t="s">
        <v>65</v>
      </c>
    </row>
    <row r="19" spans="2:90" ht="12.75" customHeight="1">
      <c r="B19" s="26">
        <f t="shared" si="2"/>
        <v>11</v>
      </c>
      <c r="C19" s="129" t="s">
        <v>279</v>
      </c>
      <c r="D19" s="125"/>
      <c r="E19" s="125">
        <f>TRUNC((12.58)/1+1.9)</f>
        <v>14</v>
      </c>
      <c r="F19" s="126">
        <v>8</v>
      </c>
      <c r="G19" s="127" t="s">
        <v>57</v>
      </c>
      <c r="H19" s="128">
        <f>28.33+1.42+1.42</f>
        <v>31.17</v>
      </c>
      <c r="I19" s="55">
        <f t="shared" si="0"/>
        <v>1165.1346000000001</v>
      </c>
      <c r="J19" s="59"/>
      <c r="K19" s="4"/>
      <c r="L19" s="4"/>
      <c r="M19" s="4"/>
      <c r="N19" s="4"/>
      <c r="O19" s="62"/>
      <c r="P19" s="65"/>
      <c r="Q19" s="4"/>
      <c r="AK19" s="44">
        <f t="shared" si="1"/>
        <v>2.67</v>
      </c>
      <c r="CI19" s="63">
        <v>4</v>
      </c>
      <c r="CJ19" s="64">
        <v>0.66800000000000004</v>
      </c>
      <c r="CL19" s="5" t="s">
        <v>65</v>
      </c>
    </row>
    <row r="20" spans="2:90" ht="12.75" customHeight="1">
      <c r="B20" s="26">
        <f t="shared" si="2"/>
        <v>12</v>
      </c>
      <c r="C20" s="130" t="s">
        <v>280</v>
      </c>
      <c r="D20" s="125"/>
      <c r="E20" s="125"/>
      <c r="F20" s="126"/>
      <c r="G20" s="127"/>
      <c r="H20" s="128"/>
      <c r="I20" s="55">
        <f t="shared" si="0"/>
        <v>0</v>
      </c>
      <c r="J20" s="59"/>
      <c r="K20" s="4"/>
      <c r="L20" s="4"/>
      <c r="M20" s="16"/>
      <c r="N20" s="4"/>
      <c r="O20" s="62"/>
      <c r="P20" s="65"/>
      <c r="Q20" s="4"/>
      <c r="AK20" s="44">
        <f t="shared" si="1"/>
        <v>0</v>
      </c>
      <c r="CI20" s="63" t="s">
        <v>68</v>
      </c>
      <c r="CJ20" s="64">
        <v>0.66800000000000004</v>
      </c>
      <c r="CL20" s="5" t="s">
        <v>69</v>
      </c>
    </row>
    <row r="21" spans="2:90" ht="12.75" customHeight="1">
      <c r="B21" s="26">
        <f t="shared" si="2"/>
        <v>13</v>
      </c>
      <c r="C21" s="129" t="s">
        <v>279</v>
      </c>
      <c r="D21" s="125"/>
      <c r="E21" s="125">
        <f>TRUNC((11.17)/1+1.9)</f>
        <v>13</v>
      </c>
      <c r="F21" s="126">
        <v>8</v>
      </c>
      <c r="G21" s="127" t="s">
        <v>57</v>
      </c>
      <c r="H21" s="128">
        <f>21.17-0.08+1.42</f>
        <v>22.510000000000005</v>
      </c>
      <c r="I21" s="55">
        <f t="shared" si="0"/>
        <v>781.32210000000021</v>
      </c>
      <c r="J21" s="59"/>
      <c r="K21" s="4"/>
      <c r="L21" s="4"/>
      <c r="N21" s="4"/>
      <c r="O21" s="62"/>
      <c r="P21" s="4"/>
      <c r="Q21" s="4"/>
      <c r="AK21" s="44">
        <f t="shared" si="1"/>
        <v>2.67</v>
      </c>
      <c r="CI21" s="63">
        <v>5</v>
      </c>
      <c r="CJ21" s="64">
        <v>1.0429999999999999</v>
      </c>
      <c r="CL21" s="5" t="s">
        <v>71</v>
      </c>
    </row>
    <row r="22" spans="2:90" ht="12.75" customHeight="1">
      <c r="B22" s="26">
        <f t="shared" si="2"/>
        <v>14</v>
      </c>
      <c r="C22" s="129" t="s">
        <v>281</v>
      </c>
      <c r="D22" s="125"/>
      <c r="E22" s="125">
        <f>TRUNC((11.17)/1+1.9)</f>
        <v>13</v>
      </c>
      <c r="F22" s="126">
        <v>6</v>
      </c>
      <c r="G22" s="127" t="s">
        <v>57</v>
      </c>
      <c r="H22" s="128">
        <f>28.25+1+1</f>
        <v>30.25</v>
      </c>
      <c r="I22" s="55">
        <f t="shared" si="0"/>
        <v>590.66149999999993</v>
      </c>
      <c r="J22" s="59"/>
      <c r="K22" s="4"/>
      <c r="L22" s="4"/>
      <c r="M22" s="4"/>
      <c r="N22" s="4"/>
      <c r="O22" s="69"/>
      <c r="P22" s="4"/>
      <c r="Q22" s="4"/>
      <c r="AK22" s="44">
        <f t="shared" si="1"/>
        <v>1.502</v>
      </c>
      <c r="CI22" s="63" t="s">
        <v>73</v>
      </c>
      <c r="CJ22" s="64">
        <v>1.0429999999999999</v>
      </c>
      <c r="CL22" s="5" t="s">
        <v>74</v>
      </c>
    </row>
    <row r="23" spans="2:90" ht="12.75" customHeight="1">
      <c r="B23" s="26">
        <f t="shared" si="2"/>
        <v>15</v>
      </c>
      <c r="C23" s="129" t="s">
        <v>275</v>
      </c>
      <c r="D23" s="125"/>
      <c r="E23" s="125">
        <f>TRUNC((11.17)/0.83+1.9)</f>
        <v>15</v>
      </c>
      <c r="F23" s="126">
        <v>6</v>
      </c>
      <c r="G23" s="127" t="s">
        <v>57</v>
      </c>
      <c r="H23" s="128">
        <f>27.83+1+1</f>
        <v>29.83</v>
      </c>
      <c r="I23" s="55">
        <f t="shared" si="0"/>
        <v>672.06989999999996</v>
      </c>
      <c r="J23" s="59"/>
      <c r="K23" s="4"/>
      <c r="L23" s="4"/>
      <c r="M23" s="4"/>
      <c r="N23" s="4"/>
      <c r="O23" s="62"/>
      <c r="P23" s="4"/>
      <c r="Q23" s="4"/>
      <c r="AK23" s="44">
        <f t="shared" si="1"/>
        <v>1.502</v>
      </c>
      <c r="CI23" s="63">
        <v>6</v>
      </c>
      <c r="CJ23" s="71">
        <v>1.502</v>
      </c>
      <c r="CL23" s="5" t="s">
        <v>76</v>
      </c>
    </row>
    <row r="24" spans="2:90" ht="12.75" customHeight="1">
      <c r="B24" s="26">
        <f t="shared" si="2"/>
        <v>16</v>
      </c>
      <c r="C24" s="129" t="s">
        <v>275</v>
      </c>
      <c r="D24" s="125"/>
      <c r="E24" s="125">
        <f>TRUNC((11.17)/0.83+1.9)</f>
        <v>15</v>
      </c>
      <c r="F24" s="126">
        <v>6</v>
      </c>
      <c r="G24" s="127" t="s">
        <v>57</v>
      </c>
      <c r="H24" s="128">
        <f>27.83+1+1</f>
        <v>29.83</v>
      </c>
      <c r="I24" s="55">
        <f t="shared" si="0"/>
        <v>672.06989999999996</v>
      </c>
      <c r="J24" s="59"/>
      <c r="K24" s="4"/>
      <c r="L24" s="4"/>
      <c r="M24" s="4"/>
      <c r="N24" s="4"/>
      <c r="O24" s="4"/>
      <c r="P24" s="4"/>
      <c r="Q24" s="4"/>
      <c r="AK24" s="44">
        <f t="shared" si="1"/>
        <v>1.502</v>
      </c>
      <c r="CI24" s="63" t="s">
        <v>78</v>
      </c>
      <c r="CJ24" s="71">
        <v>1.502</v>
      </c>
      <c r="CL24" s="5" t="s">
        <v>79</v>
      </c>
    </row>
    <row r="25" spans="2:90" ht="12.75" customHeight="1">
      <c r="B25" s="26">
        <f t="shared" si="2"/>
        <v>17</v>
      </c>
      <c r="C25" s="129" t="s">
        <v>279</v>
      </c>
      <c r="D25" s="125"/>
      <c r="E25" s="125">
        <f>TRUNC((11.17)/1+1.9)</f>
        <v>13</v>
      </c>
      <c r="F25" s="126">
        <v>8</v>
      </c>
      <c r="G25" s="127" t="s">
        <v>57</v>
      </c>
      <c r="H25" s="128">
        <f>29.33+1.42-0.08</f>
        <v>30.67</v>
      </c>
      <c r="I25" s="55">
        <f t="shared" si="0"/>
        <v>1064.5557000000001</v>
      </c>
      <c r="J25" s="59"/>
      <c r="K25" s="4"/>
      <c r="L25" s="4"/>
      <c r="M25" s="4"/>
      <c r="N25" s="4"/>
      <c r="O25" s="4"/>
      <c r="P25" s="4"/>
      <c r="Q25" s="4"/>
      <c r="AK25" s="44">
        <f t="shared" si="1"/>
        <v>2.67</v>
      </c>
      <c r="CI25" s="63">
        <v>7</v>
      </c>
      <c r="CJ25" s="71">
        <v>2.044</v>
      </c>
      <c r="CL25" s="5" t="s">
        <v>81</v>
      </c>
    </row>
    <row r="26" spans="2:90" ht="12.75" customHeight="1">
      <c r="B26" s="26">
        <f t="shared" si="2"/>
        <v>18</v>
      </c>
      <c r="C26" s="130" t="s">
        <v>282</v>
      </c>
      <c r="D26" s="66"/>
      <c r="E26" s="66"/>
      <c r="F26" s="67"/>
      <c r="G26" s="127"/>
      <c r="H26" s="128"/>
      <c r="I26" s="55">
        <f t="shared" si="0"/>
        <v>0</v>
      </c>
      <c r="J26" s="59"/>
      <c r="K26" s="72"/>
      <c r="L26" s="4"/>
      <c r="M26" s="4"/>
      <c r="N26" s="4"/>
      <c r="O26" s="4"/>
      <c r="P26" s="4"/>
      <c r="Q26" s="4"/>
      <c r="AK26" s="44">
        <f t="shared" si="1"/>
        <v>0</v>
      </c>
      <c r="CI26" s="63" t="s">
        <v>83</v>
      </c>
      <c r="CJ26" s="71">
        <v>2.044</v>
      </c>
    </row>
    <row r="27" spans="2:90" ht="12.75" customHeight="1">
      <c r="B27" s="26">
        <f t="shared" si="2"/>
        <v>19</v>
      </c>
      <c r="C27" s="129" t="s">
        <v>278</v>
      </c>
      <c r="D27" s="66"/>
      <c r="E27" s="66">
        <f>TRUNC((14.58)/1+1.9)</f>
        <v>16</v>
      </c>
      <c r="F27" s="67">
        <v>5</v>
      </c>
      <c r="G27" s="127" t="s">
        <v>65</v>
      </c>
      <c r="H27" s="68">
        <f>20.58-0.08+0.83+0.5</f>
        <v>21.83</v>
      </c>
      <c r="I27" s="55">
        <f t="shared" si="0"/>
        <v>364.29903999999993</v>
      </c>
      <c r="J27" s="59"/>
      <c r="K27" s="4"/>
      <c r="L27" s="4"/>
      <c r="M27" s="4"/>
      <c r="N27" s="4"/>
      <c r="O27" s="4"/>
      <c r="P27" s="4"/>
      <c r="Q27" s="4"/>
      <c r="AK27" s="44">
        <f t="shared" si="1"/>
        <v>1.0429999999999999</v>
      </c>
      <c r="CI27" s="63">
        <v>8</v>
      </c>
      <c r="CJ27" s="71">
        <v>2.67</v>
      </c>
    </row>
    <row r="28" spans="2:90" ht="12.75" customHeight="1">
      <c r="B28" s="26">
        <f t="shared" si="2"/>
        <v>20</v>
      </c>
      <c r="C28" s="129" t="s">
        <v>276</v>
      </c>
      <c r="D28" s="66"/>
      <c r="E28" s="66">
        <f>TRUNC((14.58)/0.83+1.9)</f>
        <v>19</v>
      </c>
      <c r="F28" s="67">
        <v>5</v>
      </c>
      <c r="G28" s="127" t="s">
        <v>57</v>
      </c>
      <c r="H28" s="68">
        <f>28.5+0.5+0.5</f>
        <v>29.5</v>
      </c>
      <c r="I28" s="55">
        <f t="shared" si="0"/>
        <v>584.60149999999999</v>
      </c>
      <c r="J28" s="59"/>
      <c r="K28" s="4"/>
      <c r="L28" s="4"/>
      <c r="M28" s="4"/>
      <c r="N28" s="4"/>
      <c r="O28" s="4"/>
      <c r="P28" s="4"/>
      <c r="Q28" s="4"/>
      <c r="AK28" s="44">
        <f t="shared" si="1"/>
        <v>1.0429999999999999</v>
      </c>
      <c r="CI28" s="63">
        <v>8</v>
      </c>
      <c r="CJ28" s="71">
        <v>2.67</v>
      </c>
    </row>
    <row r="29" spans="2:90" ht="12.75" customHeight="1">
      <c r="B29" s="26">
        <f t="shared" si="2"/>
        <v>21</v>
      </c>
      <c r="C29" s="129" t="s">
        <v>276</v>
      </c>
      <c r="D29" s="66"/>
      <c r="E29" s="66">
        <f>TRUNC((14.58)/0.83+1.9)</f>
        <v>19</v>
      </c>
      <c r="F29" s="67">
        <v>5</v>
      </c>
      <c r="G29" s="127" t="s">
        <v>57</v>
      </c>
      <c r="H29" s="68">
        <f>28+0.5+0.5</f>
        <v>29</v>
      </c>
      <c r="I29" s="55">
        <f t="shared" si="0"/>
        <v>574.69299999999998</v>
      </c>
      <c r="J29" s="59"/>
      <c r="K29" s="4"/>
      <c r="L29" s="4"/>
      <c r="M29" s="4"/>
      <c r="N29" s="4"/>
      <c r="O29" s="4"/>
      <c r="P29" s="4"/>
      <c r="Q29" s="4"/>
      <c r="AK29" s="44">
        <f t="shared" si="1"/>
        <v>1.0429999999999999</v>
      </c>
      <c r="CI29" s="63" t="s">
        <v>84</v>
      </c>
      <c r="CJ29" s="71">
        <v>2.67</v>
      </c>
    </row>
    <row r="30" spans="2:90" ht="12.75" customHeight="1">
      <c r="B30" s="26">
        <f t="shared" si="2"/>
        <v>22</v>
      </c>
      <c r="C30" s="129" t="s">
        <v>278</v>
      </c>
      <c r="D30" s="66"/>
      <c r="E30" s="66">
        <f>TRUNC((14.58)/1+1.9)</f>
        <v>16</v>
      </c>
      <c r="F30" s="67">
        <v>5</v>
      </c>
      <c r="G30" s="127" t="s">
        <v>57</v>
      </c>
      <c r="H30" s="68">
        <f>24.58+0.5+0.5</f>
        <v>25.58</v>
      </c>
      <c r="I30" s="55">
        <f t="shared" si="0"/>
        <v>426.87903999999992</v>
      </c>
      <c r="J30" s="59"/>
      <c r="K30" s="4"/>
      <c r="L30" s="4"/>
      <c r="M30" s="4"/>
      <c r="N30" s="4"/>
      <c r="O30" s="4"/>
      <c r="P30" s="4"/>
      <c r="Q30" s="4"/>
      <c r="AK30" s="44">
        <f t="shared" si="1"/>
        <v>1.0429999999999999</v>
      </c>
      <c r="CI30" s="63">
        <v>9</v>
      </c>
      <c r="CJ30" s="71">
        <v>3.4</v>
      </c>
    </row>
    <row r="31" spans="2:90" ht="12.75" customHeight="1">
      <c r="B31" s="26">
        <f t="shared" si="2"/>
        <v>23</v>
      </c>
      <c r="C31" s="129" t="s">
        <v>277</v>
      </c>
      <c r="D31" s="66"/>
      <c r="E31" s="66">
        <f>TRUNC((14.58)/1+1.9)</f>
        <v>16</v>
      </c>
      <c r="F31" s="67">
        <v>7</v>
      </c>
      <c r="G31" s="127" t="s">
        <v>57</v>
      </c>
      <c r="H31" s="68">
        <f>31.5+0.5+0.5</f>
        <v>32.5</v>
      </c>
      <c r="I31" s="55">
        <f t="shared" si="0"/>
        <v>1062.8800000000001</v>
      </c>
      <c r="J31" s="59"/>
      <c r="K31" s="4"/>
      <c r="L31" s="4"/>
      <c r="M31" s="4"/>
      <c r="N31" s="4"/>
      <c r="O31" s="4"/>
      <c r="P31" s="4"/>
      <c r="Q31" s="4"/>
      <c r="AK31" s="44">
        <f t="shared" si="1"/>
        <v>2.044</v>
      </c>
      <c r="CI31" s="63" t="s">
        <v>85</v>
      </c>
      <c r="CJ31" s="71">
        <v>3.4</v>
      </c>
    </row>
    <row r="32" spans="2:90" ht="12.75" customHeight="1">
      <c r="B32" s="26">
        <f t="shared" si="2"/>
        <v>24</v>
      </c>
      <c r="C32" s="129" t="s">
        <v>278</v>
      </c>
      <c r="D32" s="66"/>
      <c r="E32" s="66">
        <f>TRUNC((14.58)/1+1.9)</f>
        <v>16</v>
      </c>
      <c r="F32" s="67">
        <v>5</v>
      </c>
      <c r="G32" s="127" t="s">
        <v>65</v>
      </c>
      <c r="H32" s="68">
        <f>39+0.5</f>
        <v>39.5</v>
      </c>
      <c r="I32" s="55">
        <f t="shared" si="0"/>
        <v>659.17599999999993</v>
      </c>
      <c r="J32" s="59"/>
      <c r="K32" s="4"/>
      <c r="L32" s="4"/>
      <c r="M32" s="4"/>
      <c r="N32" s="4"/>
      <c r="O32" s="4"/>
      <c r="P32" s="4"/>
      <c r="Q32" s="4"/>
      <c r="AK32" s="44">
        <f t="shared" si="1"/>
        <v>1.0429999999999999</v>
      </c>
      <c r="CI32" s="63">
        <v>10</v>
      </c>
      <c r="CJ32" s="71">
        <v>4.3029999999999999</v>
      </c>
    </row>
    <row r="33" spans="2:88" ht="12.75" customHeight="1">
      <c r="B33" s="26">
        <f t="shared" si="2"/>
        <v>25</v>
      </c>
      <c r="C33" s="130" t="s">
        <v>280</v>
      </c>
      <c r="D33" s="66"/>
      <c r="E33" s="66"/>
      <c r="F33" s="126"/>
      <c r="G33" s="127"/>
      <c r="H33" s="128"/>
      <c r="I33" s="55">
        <f t="shared" si="0"/>
        <v>0</v>
      </c>
      <c r="J33" s="59"/>
      <c r="K33" s="5"/>
      <c r="L33" s="4"/>
      <c r="M33" s="4"/>
      <c r="N33" s="4"/>
      <c r="O33" s="4"/>
      <c r="P33" s="4"/>
      <c r="Q33" s="4"/>
      <c r="AK33" s="44">
        <f t="shared" si="1"/>
        <v>0</v>
      </c>
      <c r="CI33" s="63" t="s">
        <v>86</v>
      </c>
      <c r="CJ33" s="71">
        <v>4.3029999999999999</v>
      </c>
    </row>
    <row r="34" spans="2:88" ht="12.75" customHeight="1">
      <c r="B34" s="26">
        <f t="shared" si="2"/>
        <v>26</v>
      </c>
      <c r="C34" s="129" t="s">
        <v>281</v>
      </c>
      <c r="D34" s="66"/>
      <c r="E34" s="66">
        <f>TRUNC((11.25)/1+1.9)</f>
        <v>13</v>
      </c>
      <c r="F34" s="67">
        <v>6</v>
      </c>
      <c r="G34" s="127" t="s">
        <v>65</v>
      </c>
      <c r="H34" s="68">
        <f>20-0.08+1+1</f>
        <v>21.92</v>
      </c>
      <c r="I34" s="55">
        <f t="shared" si="0"/>
        <v>428.00992000000008</v>
      </c>
      <c r="J34" s="59"/>
      <c r="K34" s="4"/>
      <c r="L34" s="4"/>
      <c r="M34" s="4"/>
      <c r="N34" s="4"/>
      <c r="O34" s="4"/>
      <c r="P34" s="4"/>
      <c r="Q34" s="4"/>
      <c r="AK34" s="44">
        <f t="shared" si="1"/>
        <v>1.502</v>
      </c>
      <c r="CI34" s="63">
        <v>11</v>
      </c>
      <c r="CJ34" s="71">
        <v>5.3129999999999997</v>
      </c>
    </row>
    <row r="35" spans="2:88" ht="12.75" customHeight="1">
      <c r="B35" s="26">
        <f t="shared" si="2"/>
        <v>27</v>
      </c>
      <c r="C35" s="129" t="s">
        <v>281</v>
      </c>
      <c r="D35" s="66"/>
      <c r="E35" s="66">
        <f>TRUNC((11.25)/1+1.9)</f>
        <v>13</v>
      </c>
      <c r="F35" s="67">
        <v>6</v>
      </c>
      <c r="G35" s="127" t="s">
        <v>57</v>
      </c>
      <c r="H35" s="68">
        <f>29.5+1+1</f>
        <v>31.5</v>
      </c>
      <c r="I35" s="55">
        <f t="shared" si="0"/>
        <v>615.06900000000007</v>
      </c>
      <c r="J35" s="59"/>
      <c r="K35" s="4"/>
      <c r="L35" s="4"/>
      <c r="M35" s="4"/>
      <c r="N35" s="4"/>
      <c r="O35" s="4"/>
      <c r="P35" s="4"/>
      <c r="Q35" s="4"/>
      <c r="AK35" s="44">
        <f t="shared" si="1"/>
        <v>1.502</v>
      </c>
      <c r="CI35" s="63" t="s">
        <v>87</v>
      </c>
      <c r="CJ35" s="71">
        <v>5.3129999999999997</v>
      </c>
    </row>
    <row r="36" spans="2:88" ht="12.75" customHeight="1">
      <c r="B36" s="26">
        <f t="shared" si="2"/>
        <v>28</v>
      </c>
      <c r="C36" s="129" t="s">
        <v>281</v>
      </c>
      <c r="D36" s="66"/>
      <c r="E36" s="66">
        <f>TRUNC((11.25)/1+1.9)</f>
        <v>13</v>
      </c>
      <c r="F36" s="67">
        <v>6</v>
      </c>
      <c r="G36" s="127" t="s">
        <v>57</v>
      </c>
      <c r="H36" s="68">
        <f>28.25+1+1</f>
        <v>30.25</v>
      </c>
      <c r="I36" s="55">
        <f t="shared" si="0"/>
        <v>590.66149999999993</v>
      </c>
      <c r="J36" s="59"/>
      <c r="K36" s="4"/>
      <c r="L36" s="4"/>
      <c r="M36" s="4"/>
      <c r="N36" s="4"/>
      <c r="O36" s="4"/>
      <c r="P36" s="4"/>
      <c r="Q36" s="4"/>
      <c r="AK36" s="44">
        <f t="shared" si="1"/>
        <v>1.502</v>
      </c>
      <c r="CI36" s="63" t="s">
        <v>87</v>
      </c>
      <c r="CJ36" s="71">
        <v>5.3129999999999997</v>
      </c>
    </row>
    <row r="37" spans="2:88" ht="12.75" customHeight="1">
      <c r="B37" s="26">
        <f t="shared" si="2"/>
        <v>29</v>
      </c>
      <c r="C37" s="129" t="s">
        <v>278</v>
      </c>
      <c r="D37" s="66"/>
      <c r="E37" s="66">
        <f>TRUNC((11.25)/1+1.9)</f>
        <v>13</v>
      </c>
      <c r="F37" s="67">
        <v>5</v>
      </c>
      <c r="G37" s="127" t="s">
        <v>57</v>
      </c>
      <c r="H37" s="68">
        <f>19.25+0.83+0.83</f>
        <v>20.909999999999997</v>
      </c>
      <c r="I37" s="55">
        <f t="shared" si="0"/>
        <v>283.51868999999994</v>
      </c>
      <c r="J37" s="59"/>
      <c r="K37" s="4"/>
      <c r="L37" s="4"/>
      <c r="M37" s="4"/>
      <c r="N37" s="4"/>
      <c r="O37" s="4"/>
      <c r="P37" s="4"/>
      <c r="Q37" s="4"/>
      <c r="AK37" s="44">
        <f t="shared" si="1"/>
        <v>1.0429999999999999</v>
      </c>
      <c r="CI37" s="63" t="s">
        <v>87</v>
      </c>
      <c r="CJ37" s="71">
        <v>5.3129999999999997</v>
      </c>
    </row>
    <row r="38" spans="2:88" ht="12.75" customHeight="1">
      <c r="B38" s="26">
        <f t="shared" si="2"/>
        <v>30</v>
      </c>
      <c r="C38" s="129" t="s">
        <v>283</v>
      </c>
      <c r="D38" s="66"/>
      <c r="E38" s="66">
        <f>TRUNC((11.25)/0.83+1.9)</f>
        <v>15</v>
      </c>
      <c r="F38" s="67">
        <v>8</v>
      </c>
      <c r="G38" s="127" t="s">
        <v>57</v>
      </c>
      <c r="H38" s="68">
        <f>34+1.42+1.42</f>
        <v>36.840000000000003</v>
      </c>
      <c r="I38" s="55">
        <f t="shared" si="0"/>
        <v>1475.442</v>
      </c>
      <c r="J38" s="59"/>
      <c r="K38" s="4"/>
      <c r="L38" s="4"/>
      <c r="M38" s="4"/>
      <c r="N38" s="4"/>
      <c r="O38" s="4"/>
      <c r="P38" s="4"/>
      <c r="Q38" s="4"/>
      <c r="AK38" s="44">
        <f t="shared" si="1"/>
        <v>2.67</v>
      </c>
      <c r="CI38" s="63" t="s">
        <v>87</v>
      </c>
      <c r="CJ38" s="71">
        <v>5.3129999999999997</v>
      </c>
    </row>
    <row r="39" spans="2:88" ht="12.75" customHeight="1">
      <c r="B39" s="26">
        <f t="shared" si="2"/>
        <v>31</v>
      </c>
      <c r="C39" s="129" t="s">
        <v>278</v>
      </c>
      <c r="D39" s="66"/>
      <c r="E39" s="66">
        <f>TRUNC((11.25)/1+1.9)</f>
        <v>13</v>
      </c>
      <c r="F39" s="67">
        <v>5</v>
      </c>
      <c r="G39" s="127" t="s">
        <v>57</v>
      </c>
      <c r="H39" s="68">
        <f>6.58+0.83</f>
        <v>7.41</v>
      </c>
      <c r="I39" s="55">
        <f t="shared" si="0"/>
        <v>100.47219</v>
      </c>
      <c r="J39" s="59"/>
      <c r="K39" s="4"/>
      <c r="L39" s="4"/>
      <c r="M39" s="4"/>
      <c r="N39" s="4"/>
      <c r="O39" s="4"/>
      <c r="P39" s="4"/>
      <c r="Q39" s="4"/>
      <c r="AK39" s="44">
        <f t="shared" si="1"/>
        <v>1.0429999999999999</v>
      </c>
      <c r="CI39" s="63" t="s">
        <v>87</v>
      </c>
      <c r="CJ39" s="71">
        <v>5.3129999999999997</v>
      </c>
    </row>
    <row r="40" spans="2:88" ht="12.75" customHeight="1" thickBot="1">
      <c r="B40" s="26">
        <f t="shared" si="2"/>
        <v>32</v>
      </c>
      <c r="C40" s="130" t="s">
        <v>282</v>
      </c>
      <c r="D40" s="66"/>
      <c r="E40" s="66"/>
      <c r="F40" s="67"/>
      <c r="G40" s="127"/>
      <c r="H40" s="68"/>
      <c r="I40" s="55">
        <f t="shared" si="0"/>
        <v>0</v>
      </c>
      <c r="J40" s="59"/>
      <c r="K40" s="4"/>
      <c r="L40" s="4"/>
      <c r="M40" s="4"/>
      <c r="N40" s="4"/>
      <c r="O40" s="4"/>
      <c r="P40" s="4"/>
      <c r="Q40" s="4"/>
      <c r="AK40" s="44">
        <f t="shared" si="1"/>
        <v>0</v>
      </c>
      <c r="CI40" s="78">
        <v>2</v>
      </c>
      <c r="CJ40" s="79">
        <v>0.17</v>
      </c>
    </row>
    <row r="41" spans="2:88" ht="12.75" customHeight="1">
      <c r="B41" s="26">
        <f t="shared" si="2"/>
        <v>33</v>
      </c>
      <c r="C41" s="129" t="s">
        <v>281</v>
      </c>
      <c r="D41" s="66"/>
      <c r="E41" s="66">
        <f>TRUNC((8.75)/1+1.9)</f>
        <v>10</v>
      </c>
      <c r="F41" s="67">
        <v>5</v>
      </c>
      <c r="G41" s="127" t="s">
        <v>57</v>
      </c>
      <c r="H41" s="68">
        <f>10.67+0.5</f>
        <v>11.17</v>
      </c>
      <c r="I41" s="55">
        <f t="shared" si="0"/>
        <v>116.50309999999999</v>
      </c>
      <c r="J41" s="59"/>
      <c r="K41" s="4"/>
      <c r="L41" s="4"/>
      <c r="M41" s="4"/>
      <c r="N41" s="4"/>
      <c r="O41" s="4"/>
      <c r="P41" s="4"/>
      <c r="Q41" s="4"/>
      <c r="AK41" s="44">
        <f t="shared" si="1"/>
        <v>1.0429999999999999</v>
      </c>
    </row>
    <row r="42" spans="2:88" ht="12.75" customHeight="1">
      <c r="B42" s="26">
        <f t="shared" si="2"/>
        <v>34</v>
      </c>
      <c r="C42" s="129" t="s">
        <v>277</v>
      </c>
      <c r="D42" s="66"/>
      <c r="E42" s="66">
        <f>TRUNC((8.75)/1+1.9)</f>
        <v>10</v>
      </c>
      <c r="F42" s="67">
        <v>7</v>
      </c>
      <c r="G42" s="127" t="s">
        <v>57</v>
      </c>
      <c r="H42" s="68">
        <f>25.67+0.5+0.5</f>
        <v>26.67</v>
      </c>
      <c r="I42" s="55">
        <f t="shared" si="0"/>
        <v>545.13480000000004</v>
      </c>
      <c r="J42" s="59"/>
      <c r="K42" s="4"/>
      <c r="L42" s="4"/>
      <c r="M42" s="4"/>
      <c r="N42" s="4"/>
      <c r="O42" s="4"/>
      <c r="P42" s="4"/>
      <c r="Q42" s="4"/>
      <c r="AK42" s="44">
        <f t="shared" si="1"/>
        <v>2.044</v>
      </c>
    </row>
    <row r="43" spans="2:88" ht="12.75" customHeight="1">
      <c r="B43" s="26">
        <f t="shared" si="2"/>
        <v>35</v>
      </c>
      <c r="C43" s="129" t="s">
        <v>276</v>
      </c>
      <c r="D43" s="66"/>
      <c r="E43" s="66">
        <f>TRUNC((8.75)/0.83+1.9)</f>
        <v>12</v>
      </c>
      <c r="F43" s="67">
        <v>5</v>
      </c>
      <c r="G43" s="127" t="s">
        <v>57</v>
      </c>
      <c r="H43" s="68">
        <f>28+0.5+0.5</f>
        <v>29</v>
      </c>
      <c r="I43" s="55">
        <f t="shared" si="0"/>
        <v>362.96399999999994</v>
      </c>
      <c r="J43" s="59"/>
      <c r="K43" s="4"/>
      <c r="L43" s="4"/>
      <c r="M43" s="34"/>
      <c r="N43" s="34"/>
      <c r="O43" s="4"/>
      <c r="P43" s="4"/>
      <c r="Q43" s="4"/>
      <c r="AK43" s="44">
        <f t="shared" si="1"/>
        <v>1.0429999999999999</v>
      </c>
    </row>
    <row r="44" spans="2:88" ht="12.75" customHeight="1">
      <c r="B44" s="26">
        <f t="shared" si="2"/>
        <v>36</v>
      </c>
      <c r="C44" s="129" t="s">
        <v>278</v>
      </c>
      <c r="D44" s="66"/>
      <c r="E44" s="66">
        <f>TRUNC((8.75)/1+1.9)</f>
        <v>10</v>
      </c>
      <c r="F44" s="67">
        <v>5</v>
      </c>
      <c r="G44" s="127" t="s">
        <v>57</v>
      </c>
      <c r="H44" s="68">
        <f>19.25+0.5+0.5</f>
        <v>20.25</v>
      </c>
      <c r="I44" s="55">
        <f t="shared" si="0"/>
        <v>211.20749999999998</v>
      </c>
      <c r="J44" s="59"/>
      <c r="K44" s="4"/>
      <c r="L44" s="16"/>
      <c r="M44" s="34"/>
      <c r="N44" s="34"/>
      <c r="O44" s="4"/>
      <c r="P44" s="4"/>
      <c r="Q44" s="4"/>
      <c r="AK44" s="44">
        <f t="shared" si="1"/>
        <v>1.0429999999999999</v>
      </c>
    </row>
    <row r="45" spans="2:88" ht="12.75" customHeight="1">
      <c r="B45" s="26">
        <f t="shared" si="2"/>
        <v>37</v>
      </c>
      <c r="C45" s="129" t="s">
        <v>284</v>
      </c>
      <c r="D45" s="66"/>
      <c r="E45" s="66">
        <f>TRUNC((8.75)/0.83+1.9)</f>
        <v>12</v>
      </c>
      <c r="F45" s="67">
        <v>7</v>
      </c>
      <c r="G45" s="127" t="s">
        <v>57</v>
      </c>
      <c r="H45" s="68">
        <f>31.58-0.08+0.5</f>
        <v>32</v>
      </c>
      <c r="I45" s="55">
        <f t="shared" si="0"/>
        <v>784.89599999999996</v>
      </c>
      <c r="J45" s="59"/>
      <c r="K45" s="4"/>
      <c r="L45" s="16"/>
      <c r="M45" s="34"/>
      <c r="N45" s="16"/>
      <c r="O45" s="4"/>
      <c r="P45" s="4"/>
      <c r="Q45" s="4"/>
      <c r="AK45" s="44">
        <f t="shared" si="1"/>
        <v>2.044</v>
      </c>
    </row>
    <row r="46" spans="2:88" ht="12.75" customHeight="1">
      <c r="B46" s="26">
        <f t="shared" si="2"/>
        <v>38</v>
      </c>
      <c r="C46" s="129" t="s">
        <v>278</v>
      </c>
      <c r="D46" s="66"/>
      <c r="E46" s="66">
        <f>TRUNC((27.75)/1+1.9)</f>
        <v>29</v>
      </c>
      <c r="F46" s="67">
        <v>5</v>
      </c>
      <c r="G46" s="127" t="s">
        <v>65</v>
      </c>
      <c r="H46" s="68">
        <f>37.42-0.08*2+0.83*2</f>
        <v>38.92</v>
      </c>
      <c r="I46" s="55">
        <f t="shared" si="0"/>
        <v>1177.2132399999998</v>
      </c>
      <c r="J46" s="59"/>
      <c r="K46" s="4"/>
      <c r="L46" s="16"/>
      <c r="M46" s="34"/>
      <c r="N46" s="34"/>
      <c r="O46" s="4"/>
      <c r="P46" s="4"/>
      <c r="Q46" s="4"/>
      <c r="AK46" s="44">
        <f t="shared" si="1"/>
        <v>1.0429999999999999</v>
      </c>
    </row>
    <row r="47" spans="2:88" ht="12.75" customHeight="1">
      <c r="B47" s="26">
        <f t="shared" si="2"/>
        <v>39</v>
      </c>
      <c r="C47" s="130" t="s">
        <v>280</v>
      </c>
      <c r="D47" s="66"/>
      <c r="E47" s="66"/>
      <c r="F47" s="67"/>
      <c r="G47" s="127"/>
      <c r="H47" s="128"/>
      <c r="I47" s="55">
        <f t="shared" si="0"/>
        <v>0</v>
      </c>
      <c r="J47" s="59"/>
      <c r="K47" s="4"/>
      <c r="L47" s="16"/>
      <c r="M47" s="34"/>
      <c r="N47" s="34"/>
      <c r="O47" s="4"/>
      <c r="P47" s="4"/>
      <c r="Q47" s="4"/>
      <c r="AK47" s="44">
        <f t="shared" si="1"/>
        <v>0</v>
      </c>
    </row>
    <row r="48" spans="2:88" ht="12.75" customHeight="1">
      <c r="B48" s="26">
        <f t="shared" si="2"/>
        <v>40</v>
      </c>
      <c r="C48" s="129" t="s">
        <v>279</v>
      </c>
      <c r="D48" s="66"/>
      <c r="E48" s="66">
        <f>TRUNC((9.5)/1+1.9)</f>
        <v>11</v>
      </c>
      <c r="F48" s="67">
        <v>8</v>
      </c>
      <c r="G48" s="127" t="s">
        <v>57</v>
      </c>
      <c r="H48" s="128">
        <f>20-0.08+1.17</f>
        <v>21.090000000000003</v>
      </c>
      <c r="I48" s="55">
        <f t="shared" si="0"/>
        <v>619.41330000000005</v>
      </c>
      <c r="J48" s="59"/>
      <c r="K48" s="4"/>
      <c r="M48" s="4"/>
      <c r="N48" s="4"/>
      <c r="O48" s="4"/>
      <c r="P48" s="4"/>
      <c r="Q48" s="4"/>
      <c r="AK48" s="44">
        <f t="shared" si="1"/>
        <v>2.67</v>
      </c>
    </row>
    <row r="49" spans="2:37" ht="12.75" customHeight="1">
      <c r="B49" s="26">
        <f t="shared" si="2"/>
        <v>41</v>
      </c>
      <c r="C49" s="129" t="s">
        <v>284</v>
      </c>
      <c r="D49" s="66"/>
      <c r="E49" s="66">
        <f>TRUNC((9.5)/0.83+1.9)</f>
        <v>13</v>
      </c>
      <c r="F49" s="67">
        <v>7</v>
      </c>
      <c r="G49" s="127" t="s">
        <v>57</v>
      </c>
      <c r="H49" s="128">
        <f>29.33+1.17+1.17</f>
        <v>31.67</v>
      </c>
      <c r="I49" s="55">
        <f t="shared" si="0"/>
        <v>841.53524000000004</v>
      </c>
      <c r="J49" s="59"/>
      <c r="K49" s="4"/>
      <c r="L49" s="4"/>
      <c r="M49" s="4"/>
      <c r="N49" s="4"/>
      <c r="O49" s="4"/>
      <c r="P49" s="4"/>
      <c r="Q49" s="4"/>
      <c r="AK49" s="44">
        <f t="shared" si="1"/>
        <v>2.044</v>
      </c>
    </row>
    <row r="50" spans="2:37" ht="12.75" customHeight="1">
      <c r="B50" s="26">
        <f t="shared" si="2"/>
        <v>42</v>
      </c>
      <c r="C50" s="129" t="s">
        <v>276</v>
      </c>
      <c r="D50" s="66"/>
      <c r="E50" s="66">
        <f>TRUNC((9.5)/0.83+1.9)</f>
        <v>13</v>
      </c>
      <c r="F50" s="67">
        <v>5</v>
      </c>
      <c r="G50" s="127" t="s">
        <v>57</v>
      </c>
      <c r="H50" s="128">
        <f>27.67+0.83+0.83</f>
        <v>29.33</v>
      </c>
      <c r="I50" s="55">
        <f t="shared" si="0"/>
        <v>397.68546999999995</v>
      </c>
      <c r="J50" s="59"/>
      <c r="K50" s="4"/>
      <c r="L50" s="4"/>
      <c r="M50" s="4"/>
      <c r="N50" s="4"/>
      <c r="O50" s="4"/>
      <c r="P50" s="4"/>
      <c r="Q50" s="4"/>
      <c r="AK50" s="44">
        <f t="shared" si="1"/>
        <v>1.0429999999999999</v>
      </c>
    </row>
    <row r="51" spans="2:37" ht="12.75" customHeight="1">
      <c r="B51" s="26">
        <f t="shared" si="2"/>
        <v>43</v>
      </c>
      <c r="C51" s="129" t="s">
        <v>276</v>
      </c>
      <c r="D51" s="66"/>
      <c r="E51" s="66">
        <f>TRUNC((9.5)/0.83+1.9)</f>
        <v>13</v>
      </c>
      <c r="F51" s="67">
        <v>5</v>
      </c>
      <c r="G51" s="127" t="s">
        <v>57</v>
      </c>
      <c r="H51" s="128">
        <f>19.5+0.83+0.83</f>
        <v>21.159999999999997</v>
      </c>
      <c r="I51" s="55">
        <f t="shared" si="0"/>
        <v>286.90843999999993</v>
      </c>
      <c r="J51" s="59"/>
      <c r="L51" s="4"/>
      <c r="M51" s="4"/>
      <c r="N51" s="4"/>
      <c r="O51" s="4"/>
      <c r="P51" s="4"/>
      <c r="Q51" s="4"/>
      <c r="AK51" s="44">
        <f t="shared" si="1"/>
        <v>1.0429999999999999</v>
      </c>
    </row>
    <row r="52" spans="2:37" ht="12.75" customHeight="1">
      <c r="B52" s="26">
        <f t="shared" si="2"/>
        <v>44</v>
      </c>
      <c r="C52" s="129" t="s">
        <v>283</v>
      </c>
      <c r="D52" s="66"/>
      <c r="E52" s="66">
        <f>TRUNC((9.5)/0.83+1.9)</f>
        <v>13</v>
      </c>
      <c r="F52" s="67">
        <v>8</v>
      </c>
      <c r="G52" s="127" t="s">
        <v>57</v>
      </c>
      <c r="H52" s="128">
        <f>31.42+2+1.42+1.42</f>
        <v>36.260000000000005</v>
      </c>
      <c r="I52" s="55">
        <f t="shared" si="0"/>
        <v>1258.5846000000001</v>
      </c>
      <c r="J52" s="59"/>
      <c r="K52" s="4"/>
      <c r="L52" s="4"/>
      <c r="M52" s="4"/>
      <c r="N52" s="4"/>
      <c r="O52" s="4"/>
      <c r="P52" s="4"/>
      <c r="Q52" s="4"/>
      <c r="AK52" s="44">
        <f t="shared" si="1"/>
        <v>2.67</v>
      </c>
    </row>
    <row r="53" spans="2:37" ht="12.75" customHeight="1">
      <c r="B53" s="26">
        <f t="shared" si="2"/>
        <v>45</v>
      </c>
      <c r="C53" s="129" t="s">
        <v>278</v>
      </c>
      <c r="D53" s="66"/>
      <c r="E53" s="66">
        <f>TRUNC((9.5)/1+1.9)</f>
        <v>11</v>
      </c>
      <c r="F53" s="67">
        <v>5</v>
      </c>
      <c r="G53" s="127" t="s">
        <v>57</v>
      </c>
      <c r="H53" s="128">
        <f>7.33-0.08+0.83</f>
        <v>8.08</v>
      </c>
      <c r="I53" s="55">
        <f t="shared" si="0"/>
        <v>92.70183999999999</v>
      </c>
      <c r="J53" s="59"/>
      <c r="K53" s="4"/>
      <c r="L53" s="4"/>
      <c r="M53" s="4"/>
      <c r="N53" s="4"/>
      <c r="O53" s="4"/>
      <c r="P53" s="4"/>
      <c r="Q53" s="4"/>
      <c r="AK53" s="44">
        <f t="shared" si="1"/>
        <v>1.0429999999999999</v>
      </c>
    </row>
    <row r="54" spans="2:37" ht="12.75" customHeight="1">
      <c r="B54" s="26">
        <f t="shared" si="2"/>
        <v>46</v>
      </c>
      <c r="C54" s="129" t="s">
        <v>285</v>
      </c>
      <c r="D54" s="66"/>
      <c r="E54" s="66">
        <f>TRUNC((9.5)/0.83+1.9)</f>
        <v>13</v>
      </c>
      <c r="F54" s="67">
        <v>9</v>
      </c>
      <c r="G54" s="127" t="s">
        <v>57</v>
      </c>
      <c r="H54" s="128">
        <f>26-0.83+3.5</f>
        <v>28.67</v>
      </c>
      <c r="I54" s="55">
        <f t="shared" si="0"/>
        <v>1267.2140000000002</v>
      </c>
      <c r="J54" s="59"/>
      <c r="K54" s="4"/>
      <c r="L54" s="4"/>
      <c r="M54" s="4"/>
      <c r="N54" s="4"/>
      <c r="O54" s="4"/>
      <c r="P54" s="4"/>
      <c r="Q54" s="4"/>
      <c r="AK54" s="44">
        <f t="shared" si="1"/>
        <v>3.4</v>
      </c>
    </row>
    <row r="55" spans="2:37" ht="12.75" customHeight="1">
      <c r="B55" s="26">
        <f t="shared" si="2"/>
        <v>47</v>
      </c>
      <c r="C55" s="130" t="s">
        <v>282</v>
      </c>
      <c r="D55" s="66"/>
      <c r="E55" s="66"/>
      <c r="F55" s="126"/>
      <c r="G55" s="127"/>
      <c r="H55" s="128"/>
      <c r="I55" s="55">
        <f t="shared" si="0"/>
        <v>0</v>
      </c>
      <c r="J55" s="59"/>
      <c r="K55" s="4"/>
      <c r="L55" s="4"/>
      <c r="M55" s="4"/>
      <c r="N55" s="4"/>
      <c r="O55" s="4"/>
      <c r="P55" s="4"/>
      <c r="Q55" s="4"/>
      <c r="AK55" s="44">
        <f t="shared" si="1"/>
        <v>0</v>
      </c>
    </row>
    <row r="56" spans="2:37" ht="12.75" customHeight="1">
      <c r="B56" s="26">
        <f t="shared" si="2"/>
        <v>48</v>
      </c>
      <c r="C56" s="129" t="s">
        <v>277</v>
      </c>
      <c r="D56" s="66"/>
      <c r="E56" s="66">
        <f>TRUNC((10.58)/1+1.9)</f>
        <v>12</v>
      </c>
      <c r="F56" s="67">
        <v>7</v>
      </c>
      <c r="G56" s="127" t="s">
        <v>65</v>
      </c>
      <c r="H56" s="68">
        <f>19.33+0.5-0.08+1.17</f>
        <v>20.92</v>
      </c>
      <c r="I56" s="55">
        <f t="shared" si="0"/>
        <v>513.12576000000001</v>
      </c>
      <c r="J56" s="59"/>
      <c r="K56" s="4"/>
      <c r="L56" s="4"/>
      <c r="M56" s="4"/>
      <c r="N56" s="4"/>
      <c r="O56" s="4"/>
      <c r="P56" s="4"/>
      <c r="Q56" s="4"/>
      <c r="AK56" s="44">
        <f t="shared" si="1"/>
        <v>2.044</v>
      </c>
    </row>
    <row r="57" spans="2:37" ht="12.75" customHeight="1">
      <c r="B57" s="26">
        <f t="shared" si="2"/>
        <v>49</v>
      </c>
      <c r="C57" s="129" t="s">
        <v>281</v>
      </c>
      <c r="D57" s="66"/>
      <c r="E57" s="66">
        <f>TRUNC((10.58)/1+1.9)</f>
        <v>12</v>
      </c>
      <c r="F57" s="67">
        <v>6</v>
      </c>
      <c r="G57" s="127" t="s">
        <v>57</v>
      </c>
      <c r="H57" s="68">
        <f>30+0.5+0.5</f>
        <v>31</v>
      </c>
      <c r="I57" s="55">
        <f t="shared" si="0"/>
        <v>558.74399999999991</v>
      </c>
      <c r="J57" s="59"/>
      <c r="K57" s="4"/>
      <c r="L57" s="4"/>
      <c r="M57" s="4"/>
      <c r="N57" s="4"/>
      <c r="O57" s="4"/>
      <c r="P57" s="4"/>
      <c r="Q57" s="4"/>
      <c r="AK57" s="44">
        <f t="shared" si="1"/>
        <v>1.502</v>
      </c>
    </row>
    <row r="58" spans="2:37" ht="12.75" customHeight="1">
      <c r="B58" s="26">
        <f t="shared" si="2"/>
        <v>50</v>
      </c>
      <c r="C58" s="129" t="s">
        <v>278</v>
      </c>
      <c r="D58" s="66"/>
      <c r="E58" s="66">
        <f>TRUNC((10.58)/1+1.9)</f>
        <v>12</v>
      </c>
      <c r="F58" s="67">
        <v>5</v>
      </c>
      <c r="G58" s="127" t="s">
        <v>57</v>
      </c>
      <c r="H58" s="68">
        <f>23.33+0.5+0.5</f>
        <v>24.33</v>
      </c>
      <c r="I58" s="55">
        <f t="shared" si="0"/>
        <v>304.51427999999999</v>
      </c>
      <c r="J58" s="59"/>
      <c r="K58" s="4"/>
      <c r="L58" s="4"/>
      <c r="M58" s="4"/>
      <c r="N58" s="4"/>
      <c r="O58" s="4"/>
      <c r="P58" s="4"/>
      <c r="Q58" s="4"/>
      <c r="AK58" s="44">
        <f t="shared" si="1"/>
        <v>1.0429999999999999</v>
      </c>
    </row>
    <row r="59" spans="2:37" ht="12.75" customHeight="1">
      <c r="B59" s="26">
        <f t="shared" si="2"/>
        <v>51</v>
      </c>
      <c r="C59" s="129" t="s">
        <v>278</v>
      </c>
      <c r="D59" s="66"/>
      <c r="E59" s="66">
        <f>TRUNC((10.58)/1+1.9)</f>
        <v>12</v>
      </c>
      <c r="F59" s="67">
        <v>5</v>
      </c>
      <c r="G59" s="127" t="s">
        <v>57</v>
      </c>
      <c r="H59" s="68">
        <f>23.83+0.5+0.5</f>
        <v>24.83</v>
      </c>
      <c r="I59" s="55">
        <f t="shared" si="0"/>
        <v>310.77227999999997</v>
      </c>
      <c r="J59" s="59"/>
      <c r="K59" s="4"/>
      <c r="M59" s="4"/>
      <c r="N59" s="4"/>
      <c r="O59" s="4"/>
      <c r="P59" s="4"/>
      <c r="Q59" s="4"/>
      <c r="AK59" s="44">
        <f t="shared" si="1"/>
        <v>1.0429999999999999</v>
      </c>
    </row>
    <row r="60" spans="2:37" ht="12.75" customHeight="1">
      <c r="B60" s="26">
        <f t="shared" si="2"/>
        <v>52</v>
      </c>
      <c r="C60" s="129" t="s">
        <v>284</v>
      </c>
      <c r="D60" s="66"/>
      <c r="E60" s="66">
        <f>TRUNC((10.58)/0.83+1.9)</f>
        <v>14</v>
      </c>
      <c r="F60" s="67">
        <v>7</v>
      </c>
      <c r="G60" s="127" t="s">
        <v>65</v>
      </c>
      <c r="H60" s="68">
        <f>31.67+0.5-0.08+1.17</f>
        <v>33.260000000000005</v>
      </c>
      <c r="I60" s="55">
        <f t="shared" si="0"/>
        <v>951.76816000000019</v>
      </c>
      <c r="J60" s="59"/>
      <c r="K60" s="4"/>
      <c r="L60" s="4"/>
      <c r="M60" s="34"/>
      <c r="N60" s="34"/>
      <c r="O60" s="4"/>
      <c r="P60" s="4"/>
      <c r="Q60" s="4"/>
      <c r="AK60" s="44">
        <f t="shared" si="1"/>
        <v>2.044</v>
      </c>
    </row>
    <row r="61" spans="2:37" ht="12.75" customHeight="1">
      <c r="B61" s="26">
        <f t="shared" si="2"/>
        <v>53</v>
      </c>
      <c r="C61" s="130" t="s">
        <v>280</v>
      </c>
      <c r="D61" s="66"/>
      <c r="E61" s="66"/>
      <c r="F61" s="126"/>
      <c r="G61" s="127"/>
      <c r="H61" s="128"/>
      <c r="I61" s="55">
        <f t="shared" si="0"/>
        <v>0</v>
      </c>
      <c r="J61" s="59"/>
      <c r="K61" s="4"/>
      <c r="L61" s="16"/>
      <c r="M61" s="34"/>
      <c r="N61" s="34"/>
      <c r="O61" s="4"/>
      <c r="P61" s="4"/>
      <c r="Q61" s="4"/>
      <c r="AK61" s="44">
        <f t="shared" si="1"/>
        <v>0</v>
      </c>
    </row>
    <row r="62" spans="2:37" ht="12.75" customHeight="1">
      <c r="B62" s="26">
        <f t="shared" si="2"/>
        <v>54</v>
      </c>
      <c r="C62" s="129" t="s">
        <v>279</v>
      </c>
      <c r="D62" s="66"/>
      <c r="E62" s="66">
        <f>TRUNC((11.17)/1+1.9)</f>
        <v>13</v>
      </c>
      <c r="F62" s="67">
        <v>8</v>
      </c>
      <c r="G62" s="127" t="s">
        <v>65</v>
      </c>
      <c r="H62" s="128">
        <f>18.67-0.08+1.42+1.33</f>
        <v>21.340000000000003</v>
      </c>
      <c r="I62" s="55">
        <f t="shared" si="0"/>
        <v>740.71140000000014</v>
      </c>
      <c r="J62" s="59"/>
      <c r="L62" s="16"/>
      <c r="M62" s="34"/>
      <c r="N62" s="16"/>
      <c r="O62" s="4"/>
      <c r="P62" s="4"/>
      <c r="Q62" s="4"/>
      <c r="AK62" s="44">
        <f t="shared" si="1"/>
        <v>2.67</v>
      </c>
    </row>
    <row r="63" spans="2:37" ht="12.75" customHeight="1">
      <c r="B63" s="26">
        <f t="shared" si="2"/>
        <v>55</v>
      </c>
      <c r="C63" s="129" t="s">
        <v>277</v>
      </c>
      <c r="D63" s="66"/>
      <c r="E63" s="66">
        <f>TRUNC((11.17)/1+1.9)</f>
        <v>13</v>
      </c>
      <c r="F63" s="67">
        <v>7</v>
      </c>
      <c r="G63" s="127" t="s">
        <v>57</v>
      </c>
      <c r="H63" s="128">
        <f>31.33+1.17+1.17</f>
        <v>33.67</v>
      </c>
      <c r="I63" s="55">
        <f t="shared" si="0"/>
        <v>894.67924000000016</v>
      </c>
      <c r="J63" s="59"/>
      <c r="K63" s="4"/>
      <c r="L63" s="16"/>
      <c r="M63" s="34"/>
      <c r="N63" s="34"/>
      <c r="O63" s="4"/>
      <c r="P63" s="4"/>
      <c r="Q63" s="4"/>
      <c r="AK63" s="44">
        <f t="shared" si="1"/>
        <v>2.044</v>
      </c>
    </row>
    <row r="64" spans="2:37" ht="12.75" customHeight="1">
      <c r="B64" s="26">
        <f t="shared" si="2"/>
        <v>56</v>
      </c>
      <c r="C64" s="129" t="s">
        <v>278</v>
      </c>
      <c r="D64" s="66"/>
      <c r="E64" s="66">
        <f>TRUNC((11.17)/1+1.9)</f>
        <v>13</v>
      </c>
      <c r="F64" s="67">
        <v>5</v>
      </c>
      <c r="G64" s="127" t="s">
        <v>57</v>
      </c>
      <c r="H64" s="128">
        <f>22+0.83+0.83</f>
        <v>23.659999999999997</v>
      </c>
      <c r="I64" s="55">
        <f t="shared" si="0"/>
        <v>320.80593999999996</v>
      </c>
      <c r="J64" s="59"/>
      <c r="K64" s="4"/>
      <c r="L64" s="16"/>
      <c r="M64" s="34"/>
      <c r="N64" s="34"/>
      <c r="O64" s="4"/>
      <c r="P64" s="4"/>
      <c r="Q64" s="4"/>
      <c r="AK64" s="44">
        <f t="shared" si="1"/>
        <v>1.0429999999999999</v>
      </c>
    </row>
    <row r="65" spans="2:37" ht="12.75" customHeight="1">
      <c r="B65" s="26">
        <f t="shared" si="2"/>
        <v>57</v>
      </c>
      <c r="C65" s="129" t="s">
        <v>278</v>
      </c>
      <c r="D65" s="66"/>
      <c r="E65" s="66">
        <f>TRUNC((11.17)/1+1.9)</f>
        <v>13</v>
      </c>
      <c r="F65" s="67">
        <v>5</v>
      </c>
      <c r="G65" s="127" t="s">
        <v>57</v>
      </c>
      <c r="H65" s="128">
        <f>25.67+0.83+0.83</f>
        <v>27.33</v>
      </c>
      <c r="I65" s="55">
        <f t="shared" si="0"/>
        <v>370.56746999999996</v>
      </c>
      <c r="J65" s="59"/>
      <c r="K65" s="4"/>
      <c r="L65" s="4"/>
      <c r="M65" s="4"/>
      <c r="N65" s="4"/>
      <c r="O65" s="4"/>
      <c r="P65" s="4"/>
      <c r="Q65" s="4"/>
      <c r="AK65" s="44">
        <f t="shared" si="1"/>
        <v>1.0429999999999999</v>
      </c>
    </row>
    <row r="66" spans="2:37" ht="12.75" customHeight="1">
      <c r="B66" s="26">
        <f t="shared" si="2"/>
        <v>58</v>
      </c>
      <c r="C66" s="129" t="s">
        <v>277</v>
      </c>
      <c r="D66" s="66"/>
      <c r="E66" s="66">
        <f>TRUNC((11.17)/1+1.9)</f>
        <v>13</v>
      </c>
      <c r="F66" s="67">
        <v>7</v>
      </c>
      <c r="G66" s="127" t="s">
        <v>57</v>
      </c>
      <c r="H66" s="128">
        <f>30+1.17+1.17</f>
        <v>32.340000000000003</v>
      </c>
      <c r="I66" s="55">
        <f t="shared" si="0"/>
        <v>859.33848000000012</v>
      </c>
      <c r="J66" s="59"/>
      <c r="K66" s="4"/>
      <c r="L66" s="4"/>
      <c r="M66" s="4"/>
      <c r="N66" s="4"/>
      <c r="O66" s="4"/>
      <c r="P66" s="4"/>
      <c r="Q66" s="4"/>
      <c r="AK66" s="44">
        <f t="shared" si="1"/>
        <v>2.044</v>
      </c>
    </row>
    <row r="67" spans="2:37" ht="12.75" customHeight="1">
      <c r="B67" s="26">
        <f t="shared" si="2"/>
        <v>59</v>
      </c>
      <c r="C67" s="129" t="s">
        <v>276</v>
      </c>
      <c r="D67" s="66"/>
      <c r="E67" s="66">
        <f>TRUNC((11.17)/0.83+1.9)</f>
        <v>15</v>
      </c>
      <c r="F67" s="67">
        <v>5</v>
      </c>
      <c r="G67" s="127" t="s">
        <v>57</v>
      </c>
      <c r="H67" s="128">
        <f>19.67+0.83+0.83</f>
        <v>21.33</v>
      </c>
      <c r="I67" s="55">
        <f t="shared" si="0"/>
        <v>333.70784999999995</v>
      </c>
      <c r="J67" s="59"/>
      <c r="K67" s="4"/>
      <c r="L67" s="4"/>
      <c r="M67" s="4"/>
      <c r="N67" s="4"/>
      <c r="O67" s="4"/>
      <c r="P67" s="4"/>
      <c r="Q67" s="4"/>
      <c r="AK67" s="44">
        <f t="shared" si="1"/>
        <v>1.0429999999999999</v>
      </c>
    </row>
    <row r="68" spans="2:37" ht="12.75" customHeight="1">
      <c r="B68" s="26">
        <f t="shared" si="2"/>
        <v>60</v>
      </c>
      <c r="C68" s="129" t="s">
        <v>281</v>
      </c>
      <c r="D68" s="66"/>
      <c r="E68" s="66">
        <f>TRUNC((11.17)/1+1.9)</f>
        <v>13</v>
      </c>
      <c r="F68" s="67">
        <v>6</v>
      </c>
      <c r="G68" s="127" t="s">
        <v>65</v>
      </c>
      <c r="H68" s="128">
        <f>17+1-0.08+1</f>
        <v>18.920000000000002</v>
      </c>
      <c r="I68" s="55">
        <f t="shared" si="0"/>
        <v>369.43192000000005</v>
      </c>
      <c r="J68" s="59"/>
      <c r="K68" s="4"/>
      <c r="L68" s="4"/>
      <c r="M68" s="4"/>
      <c r="N68" s="4"/>
      <c r="O68" s="4"/>
      <c r="P68" s="4"/>
      <c r="Q68" s="4"/>
      <c r="AK68" s="44">
        <f t="shared" si="1"/>
        <v>1.502</v>
      </c>
    </row>
    <row r="69" spans="2:37" ht="12.75" customHeight="1">
      <c r="B69" s="26">
        <f t="shared" si="2"/>
        <v>61</v>
      </c>
      <c r="C69" s="130" t="s">
        <v>280</v>
      </c>
      <c r="D69" s="125"/>
      <c r="E69" s="125"/>
      <c r="F69" s="126"/>
      <c r="G69" s="127"/>
      <c r="H69" s="128"/>
      <c r="I69" s="55">
        <f t="shared" si="0"/>
        <v>0</v>
      </c>
      <c r="J69" s="59"/>
      <c r="K69" s="4"/>
      <c r="L69" s="4"/>
      <c r="M69" s="34"/>
      <c r="N69" s="34"/>
      <c r="O69" s="4"/>
      <c r="P69" s="4"/>
      <c r="Q69" s="4"/>
      <c r="AK69" s="44">
        <f t="shared" si="1"/>
        <v>0</v>
      </c>
    </row>
    <row r="70" spans="2:37" ht="12.75" customHeight="1">
      <c r="B70" s="26">
        <f t="shared" si="2"/>
        <v>62</v>
      </c>
      <c r="C70" s="129" t="s">
        <v>281</v>
      </c>
      <c r="D70" s="66"/>
      <c r="E70" s="66">
        <f>TRUNC((11.17)/1+1.9)</f>
        <v>13</v>
      </c>
      <c r="F70" s="67">
        <v>6</v>
      </c>
      <c r="G70" s="127" t="s">
        <v>65</v>
      </c>
      <c r="H70" s="128">
        <f>18.5+1-0.08+1</f>
        <v>20.420000000000002</v>
      </c>
      <c r="I70" s="55">
        <f t="shared" si="0"/>
        <v>398.72092000000004</v>
      </c>
      <c r="J70" s="59"/>
      <c r="K70" s="4"/>
      <c r="L70" s="16"/>
      <c r="M70" s="34"/>
      <c r="N70" s="34"/>
      <c r="O70" s="4"/>
      <c r="P70" s="4"/>
      <c r="Q70" s="4"/>
      <c r="AK70" s="44">
        <f t="shared" si="1"/>
        <v>1.502</v>
      </c>
    </row>
    <row r="71" spans="2:37" ht="12.75" customHeight="1">
      <c r="B71" s="26">
        <f t="shared" si="2"/>
        <v>63</v>
      </c>
      <c r="C71" s="129" t="s">
        <v>279</v>
      </c>
      <c r="D71" s="66"/>
      <c r="E71" s="66">
        <f>TRUNC((11.17)/1+1.9)</f>
        <v>13</v>
      </c>
      <c r="F71" s="67">
        <v>8</v>
      </c>
      <c r="G71" s="127" t="s">
        <v>65</v>
      </c>
      <c r="H71" s="128">
        <f>32.17+1.42-0.08+1.33</f>
        <v>34.840000000000003</v>
      </c>
      <c r="I71" s="55">
        <f t="shared" si="0"/>
        <v>1209.2963999999999</v>
      </c>
      <c r="J71" s="59"/>
      <c r="K71" s="4"/>
      <c r="L71" s="16"/>
      <c r="M71" s="34"/>
      <c r="N71" s="16"/>
      <c r="O71" s="4"/>
      <c r="P71" s="4"/>
      <c r="Q71" s="4"/>
      <c r="AK71" s="44">
        <f t="shared" si="1"/>
        <v>2.67</v>
      </c>
    </row>
    <row r="72" spans="2:37" ht="12.75" customHeight="1">
      <c r="B72" s="26">
        <f t="shared" si="2"/>
        <v>64</v>
      </c>
      <c r="C72" s="130" t="s">
        <v>282</v>
      </c>
      <c r="D72" s="66"/>
      <c r="E72" s="66"/>
      <c r="F72" s="126"/>
      <c r="G72" s="127"/>
      <c r="H72" s="128"/>
      <c r="I72" s="55">
        <f t="shared" si="0"/>
        <v>0</v>
      </c>
      <c r="J72" s="59"/>
      <c r="K72" s="4"/>
      <c r="L72" s="16"/>
      <c r="M72" s="34"/>
      <c r="N72" s="34"/>
      <c r="O72" s="4"/>
      <c r="P72" s="4"/>
      <c r="Q72" s="4"/>
      <c r="AK72" s="44">
        <f t="shared" si="1"/>
        <v>0</v>
      </c>
    </row>
    <row r="73" spans="2:37" ht="12.75" customHeight="1">
      <c r="B73" s="26">
        <f t="shared" si="2"/>
        <v>65</v>
      </c>
      <c r="C73" s="129" t="s">
        <v>278</v>
      </c>
      <c r="D73" s="66"/>
      <c r="E73" s="66">
        <f>TRUNC((2.58)/1+1.9)</f>
        <v>4</v>
      </c>
      <c r="F73" s="67">
        <v>5</v>
      </c>
      <c r="G73" s="127" t="s">
        <v>65</v>
      </c>
      <c r="H73" s="128">
        <f>18.42+0.5-0.08+0.83</f>
        <v>19.670000000000002</v>
      </c>
      <c r="I73" s="55">
        <f t="shared" si="0"/>
        <v>82.063240000000008</v>
      </c>
      <c r="J73" s="59"/>
      <c r="K73" s="4"/>
      <c r="L73" s="16"/>
      <c r="M73" s="34"/>
      <c r="N73" s="34"/>
      <c r="O73" s="4"/>
      <c r="P73" s="4"/>
      <c r="Q73" s="4"/>
      <c r="AK73" s="44">
        <f t="shared" ref="AK73:AK136" si="3">IF(F73="",0,VLOOKUP(F73,$CI$16:$CJ$358,2,FALSE))</f>
        <v>1.0429999999999999</v>
      </c>
    </row>
    <row r="74" spans="2:37" ht="12.75" customHeight="1">
      <c r="B74" s="26">
        <f t="shared" ref="B74:B137" si="4">IF(B73="SL.NO",1,B73+1)</f>
        <v>66</v>
      </c>
      <c r="C74" s="129" t="s">
        <v>277</v>
      </c>
      <c r="D74" s="66"/>
      <c r="E74" s="66">
        <f>TRUNC((2.58)/1+1.9)</f>
        <v>4</v>
      </c>
      <c r="F74" s="67">
        <v>7</v>
      </c>
      <c r="G74" s="127" t="s">
        <v>65</v>
      </c>
      <c r="H74" s="128">
        <f>32+0.5-0.08+0.83</f>
        <v>33.25</v>
      </c>
      <c r="I74" s="55">
        <f t="shared" si="0"/>
        <v>271.85200000000003</v>
      </c>
      <c r="J74" s="59"/>
      <c r="K74" s="4"/>
      <c r="L74" s="4"/>
      <c r="M74" s="4"/>
      <c r="N74" s="4"/>
      <c r="O74" s="4"/>
      <c r="P74" s="4"/>
      <c r="Q74" s="4"/>
      <c r="AK74" s="44">
        <f t="shared" si="3"/>
        <v>2.044</v>
      </c>
    </row>
    <row r="75" spans="2:37" ht="12.75" customHeight="1">
      <c r="B75" s="26">
        <f t="shared" si="4"/>
        <v>67</v>
      </c>
      <c r="C75" s="130" t="s">
        <v>282</v>
      </c>
      <c r="D75" s="125"/>
      <c r="E75" s="125"/>
      <c r="F75" s="126"/>
      <c r="G75" s="127"/>
      <c r="H75" s="128"/>
      <c r="I75" s="55">
        <f t="shared" si="0"/>
        <v>0</v>
      </c>
      <c r="J75" s="59"/>
      <c r="K75" s="4"/>
      <c r="L75" s="4"/>
      <c r="M75" s="4"/>
      <c r="N75" s="4"/>
      <c r="O75" s="4"/>
      <c r="P75" s="4"/>
      <c r="Q75" s="4"/>
      <c r="AK75" s="44">
        <f t="shared" si="3"/>
        <v>0</v>
      </c>
    </row>
    <row r="76" spans="2:37" ht="12.75" customHeight="1">
      <c r="B76" s="26">
        <f t="shared" si="4"/>
        <v>68</v>
      </c>
      <c r="C76" s="129" t="s">
        <v>279</v>
      </c>
      <c r="D76" s="66"/>
      <c r="E76" s="66">
        <f>TRUNC((12.33)/1+1.9)</f>
        <v>14</v>
      </c>
      <c r="F76" s="67">
        <v>8</v>
      </c>
      <c r="G76" s="127" t="s">
        <v>61</v>
      </c>
      <c r="H76" s="128">
        <v>40</v>
      </c>
      <c r="I76" s="55">
        <f t="shared" si="0"/>
        <v>1495.2</v>
      </c>
      <c r="J76" s="59"/>
      <c r="K76" s="4"/>
      <c r="L76" s="4"/>
      <c r="M76" s="4"/>
      <c r="N76" s="4"/>
      <c r="O76" s="4"/>
      <c r="P76" s="4"/>
      <c r="Q76" s="4"/>
      <c r="AK76" s="44">
        <f t="shared" si="3"/>
        <v>2.67</v>
      </c>
    </row>
    <row r="77" spans="2:37" ht="12.75" customHeight="1">
      <c r="B77" s="26">
        <f t="shared" si="4"/>
        <v>69</v>
      </c>
      <c r="C77" s="129" t="s">
        <v>91</v>
      </c>
      <c r="D77" s="66"/>
      <c r="E77" s="66">
        <f>TRUNC((12.33)/1+1.9)</f>
        <v>14</v>
      </c>
      <c r="F77" s="67">
        <v>8</v>
      </c>
      <c r="G77" s="127" t="s">
        <v>65</v>
      </c>
      <c r="H77" s="128">
        <f>50.5+2.83-0.08*2+1.33*2-40</f>
        <v>15.829999999999998</v>
      </c>
      <c r="I77" s="55">
        <f t="shared" si="0"/>
        <v>591.72539999999992</v>
      </c>
      <c r="J77" s="59"/>
      <c r="K77" s="4"/>
      <c r="L77" s="4"/>
      <c r="M77" s="4"/>
      <c r="N77" s="4"/>
      <c r="O77" s="4"/>
      <c r="P77" s="4"/>
      <c r="Q77" s="4"/>
      <c r="AK77" s="44">
        <f t="shared" si="3"/>
        <v>2.67</v>
      </c>
    </row>
    <row r="78" spans="2:37" ht="12.75" customHeight="1">
      <c r="B78" s="26">
        <f t="shared" si="4"/>
        <v>70</v>
      </c>
      <c r="C78" s="129" t="s">
        <v>275</v>
      </c>
      <c r="D78" s="66"/>
      <c r="E78" s="66">
        <f>TRUNC((14)/0.83+1.9)</f>
        <v>18</v>
      </c>
      <c r="F78" s="67">
        <v>6</v>
      </c>
      <c r="G78" s="127" t="s">
        <v>57</v>
      </c>
      <c r="H78" s="128">
        <f>30+0.5</f>
        <v>30.5</v>
      </c>
      <c r="I78" s="55">
        <f t="shared" si="0"/>
        <v>824.59799999999996</v>
      </c>
      <c r="J78" s="59"/>
      <c r="K78" s="4"/>
      <c r="L78" s="4"/>
      <c r="M78" s="4"/>
      <c r="N78" s="4"/>
      <c r="O78" s="4"/>
      <c r="P78" s="4"/>
      <c r="Q78" s="4"/>
      <c r="AK78" s="44">
        <f t="shared" si="3"/>
        <v>1.502</v>
      </c>
    </row>
    <row r="79" spans="2:37" ht="12.75" customHeight="1">
      <c r="B79" s="26">
        <f t="shared" si="4"/>
        <v>71</v>
      </c>
      <c r="C79" s="129" t="s">
        <v>278</v>
      </c>
      <c r="D79" s="66"/>
      <c r="E79" s="66">
        <f>TRUNC((14)/1+1.9)</f>
        <v>15</v>
      </c>
      <c r="F79" s="67">
        <v>5</v>
      </c>
      <c r="G79" s="127" t="s">
        <v>57</v>
      </c>
      <c r="H79" s="128">
        <f>19.75+0.5+0.5</f>
        <v>20.75</v>
      </c>
      <c r="I79" s="55">
        <f t="shared" si="0"/>
        <v>324.63374999999996</v>
      </c>
      <c r="J79" s="59"/>
      <c r="K79" s="4"/>
      <c r="L79" s="4"/>
      <c r="M79" s="4"/>
      <c r="N79" s="4"/>
      <c r="O79" s="4"/>
      <c r="P79" s="4"/>
      <c r="Q79" s="4"/>
      <c r="AK79" s="44">
        <f t="shared" si="3"/>
        <v>1.0429999999999999</v>
      </c>
    </row>
    <row r="80" spans="2:37" ht="12.75" customHeight="1">
      <c r="B80" s="26">
        <f t="shared" si="4"/>
        <v>72</v>
      </c>
      <c r="C80" s="129" t="s">
        <v>278</v>
      </c>
      <c r="D80" s="66"/>
      <c r="E80" s="66">
        <f>TRUNC((14)/1+1.9)</f>
        <v>15</v>
      </c>
      <c r="F80" s="67">
        <v>5</v>
      </c>
      <c r="G80" s="127" t="s">
        <v>65</v>
      </c>
      <c r="H80" s="128">
        <f>17.5+0.5-0.08+0.83</f>
        <v>18.75</v>
      </c>
      <c r="I80" s="55">
        <f t="shared" si="0"/>
        <v>293.34375</v>
      </c>
      <c r="J80" s="59"/>
      <c r="K80" s="4"/>
      <c r="L80" s="4"/>
      <c r="M80" s="4"/>
      <c r="N80" s="4"/>
      <c r="O80" s="4"/>
      <c r="P80" s="4"/>
      <c r="Q80" s="4"/>
      <c r="AK80" s="44">
        <f t="shared" si="3"/>
        <v>1.0429999999999999</v>
      </c>
    </row>
    <row r="81" spans="2:37" ht="12.75" customHeight="1">
      <c r="B81" s="26">
        <f t="shared" si="4"/>
        <v>73</v>
      </c>
      <c r="C81" s="129" t="s">
        <v>284</v>
      </c>
      <c r="D81" s="66"/>
      <c r="E81" s="66">
        <f>TRUNC((6)/0.83+1.9)</f>
        <v>9</v>
      </c>
      <c r="F81" s="67">
        <v>7</v>
      </c>
      <c r="G81" s="127" t="s">
        <v>65</v>
      </c>
      <c r="H81" s="128">
        <f>29.83+0.5-0.08+1.17</f>
        <v>31.42</v>
      </c>
      <c r="I81" s="55">
        <f t="shared" si="0"/>
        <v>578.00232000000005</v>
      </c>
      <c r="J81" s="59"/>
      <c r="K81" s="4"/>
      <c r="M81" s="4"/>
      <c r="N81" s="4"/>
      <c r="O81" s="4"/>
      <c r="P81" s="4"/>
      <c r="Q81" s="4"/>
      <c r="AK81" s="44">
        <f t="shared" si="3"/>
        <v>2.044</v>
      </c>
    </row>
    <row r="82" spans="2:37" ht="12.75" customHeight="1">
      <c r="B82" s="26">
        <f t="shared" si="4"/>
        <v>74</v>
      </c>
      <c r="C82" s="129" t="s">
        <v>276</v>
      </c>
      <c r="D82" s="66"/>
      <c r="E82" s="66">
        <f>TRUNC((6)/0.83+1.9)</f>
        <v>9</v>
      </c>
      <c r="F82" s="67">
        <v>5</v>
      </c>
      <c r="G82" s="127" t="s">
        <v>57</v>
      </c>
      <c r="H82" s="128">
        <f>19.75+0.5+0.5</f>
        <v>20.75</v>
      </c>
      <c r="I82" s="55">
        <f t="shared" si="0"/>
        <v>194.78024999999997</v>
      </c>
      <c r="J82" s="59"/>
      <c r="K82" s="4"/>
      <c r="L82" s="4"/>
      <c r="M82" s="4"/>
      <c r="N82" s="4"/>
      <c r="O82" s="4"/>
      <c r="P82" s="4"/>
      <c r="Q82" s="4"/>
      <c r="AK82" s="44">
        <f t="shared" si="3"/>
        <v>1.0429999999999999</v>
      </c>
    </row>
    <row r="83" spans="2:37" ht="12.75" customHeight="1">
      <c r="B83" s="26">
        <f t="shared" si="4"/>
        <v>75</v>
      </c>
      <c r="C83" s="129" t="s">
        <v>281</v>
      </c>
      <c r="D83" s="66"/>
      <c r="E83" s="66">
        <f>TRUNC((6)/1+1.9)</f>
        <v>7</v>
      </c>
      <c r="F83" s="67">
        <v>6</v>
      </c>
      <c r="G83" s="127" t="s">
        <v>65</v>
      </c>
      <c r="H83" s="128">
        <f>17.83+0.5-0.08+1</f>
        <v>19.25</v>
      </c>
      <c r="I83" s="55">
        <f t="shared" si="0"/>
        <v>202.39449999999999</v>
      </c>
      <c r="J83" s="59"/>
      <c r="K83" s="4"/>
      <c r="L83" s="4"/>
      <c r="M83" s="4"/>
      <c r="N83" s="4"/>
      <c r="O83" s="4"/>
      <c r="P83" s="4"/>
      <c r="Q83" s="4"/>
      <c r="AK83" s="44">
        <f t="shared" si="3"/>
        <v>1.502</v>
      </c>
    </row>
    <row r="84" spans="2:37" ht="12.75" customHeight="1">
      <c r="B84" s="26">
        <f t="shared" si="4"/>
        <v>76</v>
      </c>
      <c r="C84" s="124" t="s">
        <v>340</v>
      </c>
      <c r="D84" s="66"/>
      <c r="E84" s="66"/>
      <c r="F84" s="126"/>
      <c r="G84" s="127"/>
      <c r="H84" s="128"/>
      <c r="I84" s="55">
        <f t="shared" si="0"/>
        <v>0</v>
      </c>
      <c r="J84" s="59"/>
      <c r="L84" s="4"/>
      <c r="M84" s="4"/>
      <c r="N84" s="4"/>
      <c r="O84" s="4"/>
      <c r="P84" s="4"/>
      <c r="Q84" s="4"/>
      <c r="AK84" s="44">
        <f t="shared" si="3"/>
        <v>0</v>
      </c>
    </row>
    <row r="85" spans="2:37" ht="12.75" customHeight="1">
      <c r="B85" s="26">
        <f t="shared" si="4"/>
        <v>77</v>
      </c>
      <c r="C85" s="129" t="s">
        <v>286</v>
      </c>
      <c r="D85" s="66"/>
      <c r="E85" s="66">
        <f>TRUNC((12.5)/1+1.9)</f>
        <v>14</v>
      </c>
      <c r="F85" s="67">
        <v>5</v>
      </c>
      <c r="G85" s="127" t="s">
        <v>65</v>
      </c>
      <c r="H85" s="128">
        <f>5.33-0.08+0.83+(0.35*28.67)</f>
        <v>16.1145</v>
      </c>
      <c r="I85" s="55">
        <f t="shared" si="0"/>
        <v>235.30392899999998</v>
      </c>
      <c r="J85" s="59"/>
      <c r="K85" s="4"/>
      <c r="L85" s="4"/>
      <c r="M85" s="4"/>
      <c r="N85" s="4"/>
      <c r="O85" s="4"/>
      <c r="P85" s="4"/>
      <c r="Q85" s="4"/>
      <c r="AK85" s="44">
        <f t="shared" si="3"/>
        <v>1.0429999999999999</v>
      </c>
    </row>
    <row r="86" spans="2:37" ht="12.75" customHeight="1">
      <c r="B86" s="26">
        <f t="shared" si="4"/>
        <v>78</v>
      </c>
      <c r="C86" s="129" t="s">
        <v>287</v>
      </c>
      <c r="D86" s="66"/>
      <c r="E86" s="66">
        <f>TRUNC((12.5)/1+1.9)</f>
        <v>14</v>
      </c>
      <c r="F86" s="67">
        <v>7</v>
      </c>
      <c r="G86" s="127" t="s">
        <v>65</v>
      </c>
      <c r="H86" s="128">
        <f>5.33-0.08+1.17+(0.35*28.67)</f>
        <v>16.454499999999999</v>
      </c>
      <c r="I86" s="55">
        <f t="shared" si="0"/>
        <v>470.86197200000004</v>
      </c>
      <c r="J86" s="59"/>
      <c r="K86" s="4"/>
      <c r="L86" s="65"/>
      <c r="M86" s="4"/>
      <c r="N86" s="4"/>
      <c r="O86" s="4"/>
      <c r="P86" s="4"/>
      <c r="Q86" s="4"/>
      <c r="AK86" s="44">
        <f t="shared" si="3"/>
        <v>2.044</v>
      </c>
    </row>
    <row r="87" spans="2:37" ht="12.75" customHeight="1">
      <c r="B87" s="26">
        <f t="shared" si="4"/>
        <v>79</v>
      </c>
      <c r="C87" s="129" t="s">
        <v>288</v>
      </c>
      <c r="D87" s="66"/>
      <c r="E87" s="66">
        <f>TRUNC((12.5)/1+1.9)</f>
        <v>14</v>
      </c>
      <c r="F87" s="67">
        <v>6</v>
      </c>
      <c r="G87" s="127" t="s">
        <v>57</v>
      </c>
      <c r="H87" s="128">
        <f>10.03+10.03</f>
        <v>20.059999999999999</v>
      </c>
      <c r="I87" s="55">
        <f t="shared" si="0"/>
        <v>421.82167999999996</v>
      </c>
      <c r="J87" s="59"/>
      <c r="K87" s="4"/>
      <c r="L87" s="4"/>
      <c r="M87" s="4"/>
      <c r="N87" s="4"/>
      <c r="O87" s="4"/>
      <c r="P87" s="4"/>
      <c r="Q87" s="4"/>
      <c r="AK87" s="44">
        <f t="shared" si="3"/>
        <v>1.502</v>
      </c>
    </row>
    <row r="88" spans="2:37" ht="12.75" customHeight="1">
      <c r="B88" s="26">
        <f t="shared" si="4"/>
        <v>80</v>
      </c>
      <c r="C88" s="129" t="s">
        <v>289</v>
      </c>
      <c r="D88" s="66"/>
      <c r="E88" s="66">
        <f>TRUNC((12.5)/0.83+1.9)</f>
        <v>16</v>
      </c>
      <c r="F88" s="67">
        <v>8</v>
      </c>
      <c r="G88" s="127" t="s">
        <v>57</v>
      </c>
      <c r="H88" s="128">
        <f>10.03+10.03</f>
        <v>20.059999999999999</v>
      </c>
      <c r="I88" s="55">
        <f t="shared" si="0"/>
        <v>856.96319999999992</v>
      </c>
      <c r="J88" s="59"/>
      <c r="K88" s="4"/>
      <c r="L88" s="4"/>
      <c r="M88" s="4"/>
      <c r="N88" s="4"/>
      <c r="O88" s="4"/>
      <c r="P88" s="4"/>
      <c r="Q88" s="4"/>
      <c r="AK88" s="44">
        <f t="shared" si="3"/>
        <v>2.67</v>
      </c>
    </row>
    <row r="89" spans="2:37" ht="12.75" customHeight="1">
      <c r="B89" s="26">
        <f t="shared" si="4"/>
        <v>81</v>
      </c>
      <c r="C89" s="129" t="s">
        <v>288</v>
      </c>
      <c r="D89" s="66"/>
      <c r="E89" s="66">
        <f>TRUNC((12.5)/1+1.9)</f>
        <v>14</v>
      </c>
      <c r="F89" s="67">
        <v>6</v>
      </c>
      <c r="G89" s="127" t="s">
        <v>57</v>
      </c>
      <c r="H89" s="128">
        <f>9.85+9.85</f>
        <v>19.7</v>
      </c>
      <c r="I89" s="55">
        <f t="shared" si="0"/>
        <v>414.25159999999994</v>
      </c>
      <c r="J89" s="59"/>
      <c r="K89" s="4"/>
      <c r="L89" s="4"/>
      <c r="M89" s="4"/>
      <c r="N89" s="4"/>
      <c r="O89" s="4"/>
      <c r="P89" s="4"/>
      <c r="Q89" s="4"/>
      <c r="AK89" s="44">
        <f t="shared" si="3"/>
        <v>1.502</v>
      </c>
    </row>
    <row r="90" spans="2:37" ht="12.75" customHeight="1">
      <c r="B90" s="26">
        <f t="shared" si="4"/>
        <v>82</v>
      </c>
      <c r="C90" s="129" t="s">
        <v>287</v>
      </c>
      <c r="D90" s="66"/>
      <c r="E90" s="66">
        <f>TRUNC((12.5)/1+1.9)</f>
        <v>14</v>
      </c>
      <c r="F90" s="67">
        <v>7</v>
      </c>
      <c r="G90" s="127" t="s">
        <v>57</v>
      </c>
      <c r="H90" s="128">
        <f>10.17+10.17</f>
        <v>20.34</v>
      </c>
      <c r="I90" s="55">
        <f t="shared" si="0"/>
        <v>582.04944</v>
      </c>
      <c r="J90" s="59"/>
      <c r="K90" s="4"/>
      <c r="L90" s="4"/>
      <c r="M90" s="4"/>
      <c r="N90" s="4"/>
      <c r="O90" s="4"/>
      <c r="P90" s="4"/>
      <c r="Q90" s="4"/>
      <c r="AK90" s="44">
        <f t="shared" si="3"/>
        <v>2.044</v>
      </c>
    </row>
    <row r="91" spans="2:37" ht="12.75" customHeight="1">
      <c r="B91" s="26">
        <f t="shared" si="4"/>
        <v>83</v>
      </c>
      <c r="C91" s="129" t="s">
        <v>290</v>
      </c>
      <c r="D91" s="66"/>
      <c r="E91" s="66">
        <f>TRUNC((12.5)/1+1.9)</f>
        <v>14</v>
      </c>
      <c r="F91" s="67">
        <v>5</v>
      </c>
      <c r="G91" s="127" t="s">
        <v>65</v>
      </c>
      <c r="H91" s="128">
        <f>-0.08+0.83+(0.35*39)</f>
        <v>14.399999999999999</v>
      </c>
      <c r="I91" s="55">
        <f t="shared" si="0"/>
        <v>210.26879999999997</v>
      </c>
      <c r="J91" s="59"/>
      <c r="K91" s="4"/>
      <c r="M91" s="4"/>
      <c r="N91" s="4"/>
      <c r="O91" s="4"/>
      <c r="P91" s="4"/>
      <c r="Q91" s="4"/>
      <c r="AK91" s="44">
        <f t="shared" si="3"/>
        <v>1.0429999999999999</v>
      </c>
    </row>
    <row r="92" spans="2:37" ht="12.75" customHeight="1">
      <c r="B92" s="26">
        <f t="shared" si="4"/>
        <v>84</v>
      </c>
      <c r="C92" s="130" t="s">
        <v>280</v>
      </c>
      <c r="D92" s="66"/>
      <c r="E92" s="66"/>
      <c r="F92" s="67"/>
      <c r="G92" s="127"/>
      <c r="H92" s="128"/>
      <c r="I92" s="55">
        <f t="shared" si="0"/>
        <v>0</v>
      </c>
      <c r="J92" s="59"/>
      <c r="K92" s="4"/>
      <c r="M92" s="4"/>
      <c r="N92" s="4"/>
      <c r="O92" s="4"/>
      <c r="P92" s="4"/>
      <c r="Q92" s="4"/>
      <c r="AK92" s="44">
        <f t="shared" si="3"/>
        <v>0</v>
      </c>
    </row>
    <row r="93" spans="2:37" ht="12.75" customHeight="1">
      <c r="B93" s="26">
        <f t="shared" si="4"/>
        <v>85</v>
      </c>
      <c r="C93" s="129" t="s">
        <v>288</v>
      </c>
      <c r="D93" s="66"/>
      <c r="E93" s="66">
        <f>TRUNC((11.83)/1+1.9)</f>
        <v>13</v>
      </c>
      <c r="F93" s="67">
        <v>6</v>
      </c>
      <c r="G93" s="127" t="s">
        <v>65</v>
      </c>
      <c r="H93" s="128">
        <f>-0.08+1+(0.35*20.83)</f>
        <v>8.2104999999999997</v>
      </c>
      <c r="I93" s="55">
        <f t="shared" si="0"/>
        <v>160.31822299999999</v>
      </c>
      <c r="J93" s="59"/>
      <c r="L93" s="4"/>
      <c r="M93" s="4"/>
      <c r="N93" s="4"/>
      <c r="O93" s="4"/>
      <c r="P93" s="4"/>
      <c r="Q93" s="4"/>
      <c r="AK93" s="44">
        <f t="shared" si="3"/>
        <v>1.502</v>
      </c>
    </row>
    <row r="94" spans="2:37" ht="12.75" customHeight="1">
      <c r="B94" s="26">
        <f t="shared" si="4"/>
        <v>86</v>
      </c>
      <c r="C94" s="129" t="s">
        <v>291</v>
      </c>
      <c r="D94" s="66"/>
      <c r="E94" s="66">
        <f>TRUNC((11.83)/0.5+1.9)</f>
        <v>25</v>
      </c>
      <c r="F94" s="67">
        <v>9</v>
      </c>
      <c r="G94" s="127" t="s">
        <v>57</v>
      </c>
      <c r="H94" s="128">
        <f>10.03+10.03</f>
        <v>20.059999999999999</v>
      </c>
      <c r="I94" s="55">
        <f t="shared" si="0"/>
        <v>1705.1</v>
      </c>
      <c r="J94" s="59"/>
      <c r="K94" s="4"/>
      <c r="L94" s="4"/>
      <c r="M94" s="4"/>
      <c r="N94" s="4"/>
      <c r="O94" s="4"/>
      <c r="P94" s="4"/>
      <c r="Q94" s="4"/>
      <c r="AK94" s="44">
        <f t="shared" si="3"/>
        <v>3.4</v>
      </c>
    </row>
    <row r="95" spans="2:37" ht="12.75" customHeight="1">
      <c r="B95" s="26">
        <f t="shared" si="4"/>
        <v>87</v>
      </c>
      <c r="C95" s="129" t="s">
        <v>292</v>
      </c>
      <c r="D95" s="66">
        <v>2</v>
      </c>
      <c r="E95" s="66">
        <f>TRUNC((11.83)/1+1.9)</f>
        <v>13</v>
      </c>
      <c r="F95" s="67">
        <v>8</v>
      </c>
      <c r="G95" s="127" t="s">
        <v>57</v>
      </c>
      <c r="H95" s="128">
        <f>10.03+10.03</f>
        <v>20.059999999999999</v>
      </c>
      <c r="I95" s="55">
        <f t="shared" si="0"/>
        <v>1392.5651999999998</v>
      </c>
      <c r="J95" s="59"/>
      <c r="L95" s="4"/>
      <c r="M95" s="4"/>
      <c r="N95" s="4"/>
      <c r="O95" s="4"/>
      <c r="P95" s="4"/>
      <c r="Q95" s="4"/>
      <c r="AK95" s="44">
        <f t="shared" si="3"/>
        <v>2.67</v>
      </c>
    </row>
    <row r="96" spans="2:37" ht="12.75" customHeight="1">
      <c r="B96" s="26">
        <f t="shared" si="4"/>
        <v>88</v>
      </c>
      <c r="C96" s="129" t="s">
        <v>293</v>
      </c>
      <c r="D96" s="66"/>
      <c r="E96" s="66">
        <f>TRUNC((11.83)/1+1.9)</f>
        <v>13</v>
      </c>
      <c r="F96" s="67">
        <v>9</v>
      </c>
      <c r="G96" s="127" t="s">
        <v>57</v>
      </c>
      <c r="H96" s="128">
        <f>10.17+10.17</f>
        <v>20.34</v>
      </c>
      <c r="I96" s="55">
        <f>IF(D96="",AK96*H96*E96,AK96*H96*E96*D96)</f>
        <v>899.02799999999991</v>
      </c>
      <c r="J96" s="59"/>
      <c r="K96" s="4"/>
      <c r="L96" s="4"/>
      <c r="M96" s="4"/>
      <c r="N96" s="4"/>
      <c r="O96" s="4"/>
      <c r="P96" s="4"/>
      <c r="Q96" s="4"/>
      <c r="AK96" s="44">
        <f t="shared" si="3"/>
        <v>3.4</v>
      </c>
    </row>
    <row r="97" spans="2:37" ht="12.75" customHeight="1">
      <c r="B97" s="26">
        <f t="shared" si="4"/>
        <v>89</v>
      </c>
      <c r="C97" s="130" t="s">
        <v>282</v>
      </c>
      <c r="D97" s="66"/>
      <c r="E97" s="66"/>
      <c r="F97" s="67"/>
      <c r="G97" s="66"/>
      <c r="H97" s="68"/>
      <c r="I97" s="55">
        <f t="shared" si="0"/>
        <v>0</v>
      </c>
      <c r="J97" s="59"/>
      <c r="K97" s="4"/>
      <c r="L97" s="4"/>
      <c r="M97" s="4"/>
      <c r="N97" s="4"/>
      <c r="O97" s="4"/>
      <c r="P97" s="4"/>
      <c r="Q97" s="4"/>
      <c r="AK97" s="44">
        <f t="shared" si="3"/>
        <v>0</v>
      </c>
    </row>
    <row r="98" spans="2:37" ht="12.75" customHeight="1">
      <c r="B98" s="26">
        <f t="shared" si="4"/>
        <v>90</v>
      </c>
      <c r="C98" s="129" t="s">
        <v>290</v>
      </c>
      <c r="D98" s="66"/>
      <c r="E98" s="66">
        <f t="shared" ref="E98:E105" si="5">TRUNC((14.58)/1+1.9)</f>
        <v>16</v>
      </c>
      <c r="F98" s="67">
        <v>5</v>
      </c>
      <c r="G98" s="127" t="s">
        <v>65</v>
      </c>
      <c r="H98" s="128">
        <f>19.5-0.08+0.83</f>
        <v>20.25</v>
      </c>
      <c r="I98" s="55">
        <f t="shared" si="0"/>
        <v>337.93199999999996</v>
      </c>
      <c r="J98" s="59"/>
      <c r="K98" s="4"/>
      <c r="L98" s="4"/>
      <c r="M98" s="4"/>
      <c r="N98" s="4"/>
      <c r="O98" s="4"/>
      <c r="P98" s="4"/>
      <c r="Q98" s="4"/>
      <c r="AK98" s="44">
        <f t="shared" si="3"/>
        <v>1.0429999999999999</v>
      </c>
    </row>
    <row r="99" spans="2:37" ht="12.75" customHeight="1">
      <c r="B99" s="26">
        <f t="shared" si="4"/>
        <v>91</v>
      </c>
      <c r="C99" s="129" t="s">
        <v>292</v>
      </c>
      <c r="D99" s="66"/>
      <c r="E99" s="66">
        <f t="shared" si="5"/>
        <v>16</v>
      </c>
      <c r="F99" s="67">
        <v>8</v>
      </c>
      <c r="G99" s="127" t="s">
        <v>57</v>
      </c>
      <c r="H99" s="128">
        <f>7.43+7.43</f>
        <v>14.86</v>
      </c>
      <c r="I99" s="55">
        <f t="shared" si="0"/>
        <v>634.81919999999991</v>
      </c>
      <c r="J99" s="59"/>
      <c r="K99" s="4"/>
      <c r="L99" s="4"/>
      <c r="M99" s="4"/>
      <c r="N99" s="4"/>
      <c r="O99" s="4"/>
      <c r="P99" s="4"/>
      <c r="Q99" s="4"/>
      <c r="AK99" s="44">
        <f t="shared" si="3"/>
        <v>2.67</v>
      </c>
    </row>
    <row r="100" spans="2:37" ht="12.75" customHeight="1">
      <c r="B100" s="26">
        <f t="shared" si="4"/>
        <v>92</v>
      </c>
      <c r="C100" s="129" t="s">
        <v>290</v>
      </c>
      <c r="D100" s="66"/>
      <c r="E100" s="66">
        <f t="shared" si="5"/>
        <v>16</v>
      </c>
      <c r="F100" s="67">
        <v>5</v>
      </c>
      <c r="G100" s="127" t="s">
        <v>61</v>
      </c>
      <c r="H100" s="128">
        <v>40</v>
      </c>
      <c r="I100" s="55">
        <f t="shared" si="0"/>
        <v>667.52</v>
      </c>
      <c r="J100" s="59"/>
      <c r="K100" s="4"/>
      <c r="L100" s="4"/>
      <c r="M100" s="4"/>
      <c r="N100" s="4"/>
      <c r="O100" s="4"/>
      <c r="P100" s="4"/>
      <c r="Q100" s="4"/>
      <c r="AK100" s="44">
        <f t="shared" si="3"/>
        <v>1.0429999999999999</v>
      </c>
    </row>
    <row r="101" spans="2:37" ht="12.75" customHeight="1">
      <c r="B101" s="26">
        <f t="shared" si="4"/>
        <v>93</v>
      </c>
      <c r="C101" s="129" t="s">
        <v>91</v>
      </c>
      <c r="D101" s="66"/>
      <c r="E101" s="66">
        <f t="shared" si="5"/>
        <v>16</v>
      </c>
      <c r="F101" s="67">
        <v>5</v>
      </c>
      <c r="G101" s="127" t="s">
        <v>57</v>
      </c>
      <c r="H101" s="128">
        <f>7.17+7.17+29.75-40</f>
        <v>4.0900000000000034</v>
      </c>
      <c r="I101" s="55">
        <f t="shared" si="0"/>
        <v>68.253920000000051</v>
      </c>
      <c r="J101" s="59"/>
      <c r="K101" s="4"/>
      <c r="L101" s="4"/>
      <c r="M101" s="4"/>
      <c r="N101" s="4"/>
      <c r="O101" s="4"/>
      <c r="P101" s="4"/>
      <c r="Q101" s="4"/>
      <c r="AK101" s="44">
        <f t="shared" si="3"/>
        <v>1.0429999999999999</v>
      </c>
    </row>
    <row r="102" spans="2:37" ht="12.75" customHeight="1">
      <c r="B102" s="26">
        <f t="shared" si="4"/>
        <v>94</v>
      </c>
      <c r="C102" s="129" t="s">
        <v>288</v>
      </c>
      <c r="D102" s="66"/>
      <c r="E102" s="66">
        <f t="shared" si="5"/>
        <v>16</v>
      </c>
      <c r="F102" s="67">
        <v>6</v>
      </c>
      <c r="G102" s="127" t="s">
        <v>57</v>
      </c>
      <c r="H102" s="128">
        <f>7.43+7.43</f>
        <v>14.86</v>
      </c>
      <c r="I102" s="55">
        <f t="shared" si="0"/>
        <v>357.11552</v>
      </c>
      <c r="J102" s="59"/>
      <c r="K102" s="4"/>
      <c r="L102" s="4"/>
      <c r="M102" s="4"/>
      <c r="N102" s="4"/>
      <c r="O102" s="4"/>
      <c r="P102" s="4"/>
      <c r="Q102" s="4"/>
      <c r="AK102" s="44">
        <f t="shared" si="3"/>
        <v>1.502</v>
      </c>
    </row>
    <row r="103" spans="2:37" ht="12.75" customHeight="1">
      <c r="B103" s="26">
        <f t="shared" si="4"/>
        <v>95</v>
      </c>
      <c r="C103" s="129" t="s">
        <v>288</v>
      </c>
      <c r="D103" s="66"/>
      <c r="E103" s="66">
        <f t="shared" si="5"/>
        <v>16</v>
      </c>
      <c r="F103" s="67">
        <v>6</v>
      </c>
      <c r="G103" s="127" t="s">
        <v>57</v>
      </c>
      <c r="H103" s="128">
        <f>8.62+8.62+19.75</f>
        <v>36.989999999999995</v>
      </c>
      <c r="I103" s="55">
        <f t="shared" ref="I103:I207" si="6">IF(D103="",AK103*H103*E103,AK103*H103*E103*D103)</f>
        <v>888.94367999999986</v>
      </c>
      <c r="J103" s="59"/>
      <c r="K103" s="4"/>
      <c r="M103" s="4"/>
      <c r="N103" s="4"/>
      <c r="O103" s="4"/>
      <c r="P103" s="4"/>
      <c r="Q103" s="4"/>
      <c r="AK103" s="44">
        <f t="shared" si="3"/>
        <v>1.502</v>
      </c>
    </row>
    <row r="104" spans="2:37" ht="12.75" customHeight="1">
      <c r="B104" s="26">
        <f t="shared" si="4"/>
        <v>96</v>
      </c>
      <c r="C104" s="129" t="s">
        <v>290</v>
      </c>
      <c r="D104" s="66"/>
      <c r="E104" s="66">
        <f t="shared" si="5"/>
        <v>16</v>
      </c>
      <c r="F104" s="67">
        <v>5</v>
      </c>
      <c r="G104" s="127" t="s">
        <v>57</v>
      </c>
      <c r="H104" s="128">
        <f>34.5-0.08+0.83</f>
        <v>35.25</v>
      </c>
      <c r="I104" s="55">
        <f t="shared" si="6"/>
        <v>588.25199999999995</v>
      </c>
      <c r="J104" s="59"/>
      <c r="K104" s="4"/>
      <c r="L104" s="4"/>
      <c r="M104" s="4"/>
      <c r="N104" s="4"/>
      <c r="O104" s="4"/>
      <c r="P104" s="4"/>
      <c r="Q104" s="4"/>
      <c r="AK104" s="44">
        <f t="shared" si="3"/>
        <v>1.0429999999999999</v>
      </c>
    </row>
    <row r="105" spans="2:37" ht="12.75" customHeight="1">
      <c r="B105" s="26">
        <f t="shared" si="4"/>
        <v>97</v>
      </c>
      <c r="C105" s="129" t="s">
        <v>288</v>
      </c>
      <c r="D105" s="66"/>
      <c r="E105" s="66">
        <f t="shared" si="5"/>
        <v>16</v>
      </c>
      <c r="F105" s="67">
        <v>6</v>
      </c>
      <c r="G105" s="127" t="s">
        <v>57</v>
      </c>
      <c r="H105" s="128">
        <v>39.25</v>
      </c>
      <c r="I105" s="55">
        <f t="shared" si="6"/>
        <v>943.25599999999997</v>
      </c>
      <c r="J105" s="59"/>
      <c r="K105" s="4"/>
      <c r="L105" s="4"/>
      <c r="M105" s="4"/>
      <c r="N105" s="4"/>
      <c r="O105" s="4"/>
      <c r="P105" s="4"/>
      <c r="Q105" s="4"/>
      <c r="AK105" s="44">
        <f t="shared" si="3"/>
        <v>1.502</v>
      </c>
    </row>
    <row r="106" spans="2:37" ht="12.75" customHeight="1">
      <c r="B106" s="26">
        <f t="shared" si="4"/>
        <v>98</v>
      </c>
      <c r="C106" s="130" t="s">
        <v>280</v>
      </c>
      <c r="D106" s="66"/>
      <c r="E106" s="66"/>
      <c r="F106" s="67"/>
      <c r="G106" s="127"/>
      <c r="H106" s="128"/>
      <c r="I106" s="55">
        <f t="shared" si="6"/>
        <v>0</v>
      </c>
      <c r="J106" s="59"/>
      <c r="L106" s="4"/>
      <c r="M106" s="4"/>
      <c r="N106" s="4"/>
      <c r="O106" s="4"/>
      <c r="P106" s="4"/>
      <c r="Q106" s="4"/>
      <c r="AK106" s="44">
        <f t="shared" si="3"/>
        <v>0</v>
      </c>
    </row>
    <row r="107" spans="2:37" ht="12.75" customHeight="1">
      <c r="B107" s="26">
        <f t="shared" si="4"/>
        <v>99</v>
      </c>
      <c r="C107" s="129" t="s">
        <v>290</v>
      </c>
      <c r="D107" s="66"/>
      <c r="E107" s="66">
        <f>TRUNC((11.33)/1+1.9)</f>
        <v>13</v>
      </c>
      <c r="F107" s="67">
        <v>5</v>
      </c>
      <c r="G107" s="127" t="s">
        <v>65</v>
      </c>
      <c r="H107" s="128">
        <f>(19.5*0.35)-0.08+0.83</f>
        <v>7.5749999999999993</v>
      </c>
      <c r="I107" s="55">
        <f t="shared" si="6"/>
        <v>102.70942499999998</v>
      </c>
      <c r="J107" s="59"/>
      <c r="K107" s="4"/>
      <c r="L107" s="4"/>
      <c r="M107" s="4"/>
      <c r="N107" s="4"/>
      <c r="O107" s="4"/>
      <c r="P107" s="4"/>
      <c r="Q107" s="4"/>
      <c r="AK107" s="44">
        <f t="shared" si="3"/>
        <v>1.0429999999999999</v>
      </c>
    </row>
    <row r="108" spans="2:37" ht="12.75" customHeight="1">
      <c r="B108" s="26">
        <f t="shared" si="4"/>
        <v>100</v>
      </c>
      <c r="C108" s="129" t="s">
        <v>290</v>
      </c>
      <c r="D108" s="66"/>
      <c r="E108" s="66">
        <f>TRUNC((11.33)/1+1.9)</f>
        <v>13</v>
      </c>
      <c r="F108" s="67">
        <v>5</v>
      </c>
      <c r="G108" s="127" t="s">
        <v>57</v>
      </c>
      <c r="H108" s="128">
        <f>10.42+10.42</f>
        <v>20.84</v>
      </c>
      <c r="I108" s="55">
        <f t="shared" si="6"/>
        <v>282.56956000000002</v>
      </c>
      <c r="J108" s="59"/>
      <c r="K108" s="4"/>
      <c r="L108" s="4"/>
      <c r="M108" s="4"/>
      <c r="N108" s="4"/>
      <c r="O108" s="4"/>
      <c r="P108" s="4"/>
      <c r="Q108" s="4"/>
      <c r="AK108" s="44">
        <f t="shared" si="3"/>
        <v>1.0429999999999999</v>
      </c>
    </row>
    <row r="109" spans="2:37" ht="12.75" customHeight="1">
      <c r="B109" s="26">
        <f t="shared" si="4"/>
        <v>101</v>
      </c>
      <c r="C109" s="129" t="s">
        <v>289</v>
      </c>
      <c r="D109" s="66"/>
      <c r="E109" s="66">
        <f>TRUNC((11.33)/0.83+1.9)</f>
        <v>15</v>
      </c>
      <c r="F109" s="67">
        <v>8</v>
      </c>
      <c r="G109" s="127" t="s">
        <v>57</v>
      </c>
      <c r="H109" s="128">
        <f>10.42+10.42</f>
        <v>20.84</v>
      </c>
      <c r="I109" s="55">
        <f t="shared" si="6"/>
        <v>834.64200000000005</v>
      </c>
      <c r="J109" s="59"/>
      <c r="L109" s="4"/>
      <c r="M109" s="4"/>
      <c r="N109" s="4"/>
      <c r="O109" s="4"/>
      <c r="P109" s="4"/>
      <c r="Q109" s="4"/>
      <c r="AK109" s="44">
        <f t="shared" si="3"/>
        <v>2.67</v>
      </c>
    </row>
    <row r="110" spans="2:37" ht="12.75" customHeight="1">
      <c r="B110" s="26">
        <f t="shared" si="4"/>
        <v>102</v>
      </c>
      <c r="C110" s="129" t="s">
        <v>294</v>
      </c>
      <c r="D110" s="66"/>
      <c r="E110" s="66">
        <f>TRUNC((11.33)/0.83+1.9)</f>
        <v>15</v>
      </c>
      <c r="F110" s="67">
        <v>9</v>
      </c>
      <c r="G110" s="127" t="s">
        <v>57</v>
      </c>
      <c r="H110" s="128">
        <f>10.06+10.06</f>
        <v>20.12</v>
      </c>
      <c r="I110" s="55">
        <f t="shared" si="6"/>
        <v>1026.1200000000001</v>
      </c>
      <c r="J110" s="59"/>
      <c r="L110" s="4"/>
      <c r="M110" s="4"/>
      <c r="N110" s="4"/>
      <c r="O110" s="4"/>
      <c r="P110" s="4"/>
      <c r="Q110" s="4"/>
      <c r="AK110" s="44">
        <f t="shared" si="3"/>
        <v>3.4</v>
      </c>
    </row>
    <row r="111" spans="2:37" ht="12.75" customHeight="1">
      <c r="B111" s="26">
        <f t="shared" si="4"/>
        <v>103</v>
      </c>
      <c r="C111" s="129" t="s">
        <v>294</v>
      </c>
      <c r="D111" s="66"/>
      <c r="E111" s="66">
        <f>TRUNC((11.33)/0.83+1.9)</f>
        <v>15</v>
      </c>
      <c r="F111" s="67">
        <v>9</v>
      </c>
      <c r="G111" s="127" t="s">
        <v>57</v>
      </c>
      <c r="H111" s="128">
        <f>12.07+12.07</f>
        <v>24.14</v>
      </c>
      <c r="I111" s="55">
        <f t="shared" si="6"/>
        <v>1231.1399999999999</v>
      </c>
      <c r="J111" s="59"/>
      <c r="K111" s="4"/>
      <c r="L111" s="4"/>
      <c r="M111" s="4"/>
      <c r="N111" s="4"/>
      <c r="O111" s="4"/>
      <c r="P111" s="4"/>
      <c r="Q111" s="4"/>
      <c r="AK111" s="44">
        <f t="shared" si="3"/>
        <v>3.4</v>
      </c>
    </row>
    <row r="112" spans="2:37" ht="12.75" customHeight="1">
      <c r="B112" s="26">
        <f t="shared" si="4"/>
        <v>104</v>
      </c>
      <c r="C112" s="129" t="s">
        <v>290</v>
      </c>
      <c r="D112" s="66"/>
      <c r="E112" s="66">
        <f>TRUNC((11.33)/1+1.9)</f>
        <v>13</v>
      </c>
      <c r="F112" s="67">
        <v>5</v>
      </c>
      <c r="G112" s="127" t="s">
        <v>57</v>
      </c>
      <c r="H112" s="128">
        <f>12.07+12.07</f>
        <v>24.14</v>
      </c>
      <c r="I112" s="55">
        <f t="shared" si="6"/>
        <v>327.31425999999999</v>
      </c>
      <c r="J112" s="59"/>
      <c r="K112" s="4"/>
      <c r="L112" s="4"/>
      <c r="M112" s="4"/>
      <c r="N112" s="4"/>
      <c r="O112" s="4"/>
      <c r="P112" s="4"/>
      <c r="Q112" s="4"/>
      <c r="AK112" s="44">
        <f t="shared" si="3"/>
        <v>1.0429999999999999</v>
      </c>
    </row>
    <row r="113" spans="2:37" ht="12.75" customHeight="1">
      <c r="B113" s="26">
        <f t="shared" si="4"/>
        <v>105</v>
      </c>
      <c r="C113" s="129" t="s">
        <v>291</v>
      </c>
      <c r="D113" s="66"/>
      <c r="E113" s="66">
        <f>TRUNC((11.33)/0.5+1.9)</f>
        <v>24</v>
      </c>
      <c r="F113" s="67">
        <v>9</v>
      </c>
      <c r="G113" s="127" t="s">
        <v>65</v>
      </c>
      <c r="H113" s="128">
        <f>-0.08+0.83+(0.35*7.75)</f>
        <v>3.4624999999999999</v>
      </c>
      <c r="I113" s="55">
        <f t="shared" si="6"/>
        <v>282.53999999999996</v>
      </c>
      <c r="J113" s="59"/>
      <c r="K113" s="4"/>
      <c r="L113" s="4"/>
      <c r="M113" s="4"/>
      <c r="N113" s="4"/>
      <c r="O113" s="4"/>
      <c r="P113" s="4"/>
      <c r="Q113" s="4"/>
      <c r="AK113" s="44">
        <f t="shared" si="3"/>
        <v>3.4</v>
      </c>
    </row>
    <row r="114" spans="2:37" ht="12.75" customHeight="1">
      <c r="B114" s="26">
        <f t="shared" si="4"/>
        <v>106</v>
      </c>
      <c r="C114" s="130" t="s">
        <v>282</v>
      </c>
      <c r="D114" s="125"/>
      <c r="E114" s="125"/>
      <c r="F114" s="126"/>
      <c r="G114" s="127"/>
      <c r="H114" s="128"/>
      <c r="I114" s="55">
        <f t="shared" si="6"/>
        <v>0</v>
      </c>
      <c r="J114" s="59"/>
      <c r="K114" s="4"/>
      <c r="L114" s="4"/>
      <c r="M114" s="4"/>
      <c r="N114" s="4"/>
      <c r="O114" s="4"/>
      <c r="P114" s="4"/>
      <c r="Q114" s="4"/>
      <c r="AK114" s="44">
        <f t="shared" si="3"/>
        <v>0</v>
      </c>
    </row>
    <row r="115" spans="2:37" ht="12.75" customHeight="1">
      <c r="B115" s="26">
        <f t="shared" si="4"/>
        <v>107</v>
      </c>
      <c r="C115" s="129" t="s">
        <v>292</v>
      </c>
      <c r="D115" s="125"/>
      <c r="E115" s="125">
        <f>TRUNC((9)/1+1.9)</f>
        <v>10</v>
      </c>
      <c r="F115" s="126">
        <v>8</v>
      </c>
      <c r="G115" s="127" t="s">
        <v>65</v>
      </c>
      <c r="H115" s="128">
        <f>(26.17*0.25)-0.08+1.33</f>
        <v>7.7925000000000004</v>
      </c>
      <c r="I115" s="55">
        <f t="shared" si="6"/>
        <v>208.05975000000001</v>
      </c>
      <c r="J115" s="59"/>
      <c r="K115" s="4"/>
      <c r="L115" s="4"/>
      <c r="M115" s="4"/>
      <c r="N115" s="4"/>
      <c r="O115" s="4"/>
      <c r="P115" s="4"/>
      <c r="Q115" s="4"/>
      <c r="AK115" s="44">
        <f t="shared" si="3"/>
        <v>2.67</v>
      </c>
    </row>
    <row r="116" spans="2:37" ht="12.75" customHeight="1">
      <c r="B116" s="26">
        <f t="shared" si="4"/>
        <v>108</v>
      </c>
      <c r="C116" s="129" t="s">
        <v>290</v>
      </c>
      <c r="D116" s="66"/>
      <c r="E116" s="125">
        <f>TRUNC((9)/1+1.9)</f>
        <v>10</v>
      </c>
      <c r="F116" s="67">
        <v>5</v>
      </c>
      <c r="G116" s="127" t="s">
        <v>57</v>
      </c>
      <c r="H116" s="128">
        <f>6.06+6.06</f>
        <v>12.12</v>
      </c>
      <c r="I116" s="55">
        <f t="shared" si="6"/>
        <v>126.41159999999998</v>
      </c>
      <c r="J116" s="59"/>
      <c r="K116" s="4"/>
      <c r="L116" s="4"/>
      <c r="M116" s="4"/>
      <c r="N116" s="4"/>
      <c r="O116" s="4"/>
      <c r="P116" s="4"/>
      <c r="Q116" s="4"/>
      <c r="AK116" s="44">
        <f t="shared" si="3"/>
        <v>1.0429999999999999</v>
      </c>
    </row>
    <row r="117" spans="2:37" ht="12.75" customHeight="1">
      <c r="B117" s="26">
        <f t="shared" si="4"/>
        <v>109</v>
      </c>
      <c r="C117" s="129" t="s">
        <v>290</v>
      </c>
      <c r="D117" s="66"/>
      <c r="E117" s="125">
        <f>TRUNC((9)/1+1.9)</f>
        <v>10</v>
      </c>
      <c r="F117" s="67">
        <v>5</v>
      </c>
      <c r="G117" s="127" t="s">
        <v>57</v>
      </c>
      <c r="H117" s="128">
        <f>6.06+6.06</f>
        <v>12.12</v>
      </c>
      <c r="I117" s="55">
        <f t="shared" si="6"/>
        <v>126.41159999999998</v>
      </c>
      <c r="J117" s="59"/>
      <c r="K117" s="4"/>
      <c r="M117" s="4"/>
      <c r="N117" s="4"/>
      <c r="O117" s="4"/>
      <c r="P117" s="4"/>
      <c r="Q117" s="4"/>
      <c r="AK117" s="44">
        <f t="shared" si="3"/>
        <v>1.0429999999999999</v>
      </c>
    </row>
    <row r="118" spans="2:37" ht="12.75" customHeight="1">
      <c r="B118" s="26">
        <f t="shared" si="4"/>
        <v>110</v>
      </c>
      <c r="C118" s="129" t="s">
        <v>290</v>
      </c>
      <c r="D118" s="125"/>
      <c r="E118" s="125">
        <f>TRUNC((9)/1+1.9)</f>
        <v>10</v>
      </c>
      <c r="F118" s="126">
        <v>5</v>
      </c>
      <c r="G118" s="127" t="s">
        <v>65</v>
      </c>
      <c r="H118" s="128">
        <f>(32.58*0.25)-0.08+1.33</f>
        <v>9.3949999999999996</v>
      </c>
      <c r="I118" s="55">
        <f t="shared" si="6"/>
        <v>97.98984999999999</v>
      </c>
      <c r="J118" s="59"/>
      <c r="K118" s="4"/>
      <c r="L118" s="4"/>
      <c r="M118" s="4"/>
      <c r="N118" s="4"/>
      <c r="O118" s="4"/>
      <c r="P118" s="4"/>
      <c r="Q118" s="4"/>
      <c r="AK118" s="44">
        <f t="shared" si="3"/>
        <v>1.0429999999999999</v>
      </c>
    </row>
    <row r="119" spans="2:37" ht="12.75" customHeight="1">
      <c r="B119" s="26">
        <f t="shared" si="4"/>
        <v>111</v>
      </c>
      <c r="C119" s="129" t="s">
        <v>295</v>
      </c>
      <c r="D119" s="66"/>
      <c r="E119" s="125">
        <f>TRUNC((9)/0.83+1.9)</f>
        <v>12</v>
      </c>
      <c r="F119" s="67">
        <v>6</v>
      </c>
      <c r="G119" s="127" t="s">
        <v>57</v>
      </c>
      <c r="H119" s="128">
        <f>8.14+8.14</f>
        <v>16.28</v>
      </c>
      <c r="I119" s="55">
        <f t="shared" si="6"/>
        <v>293.43072000000001</v>
      </c>
      <c r="J119" s="59"/>
      <c r="K119" s="4"/>
      <c r="L119" s="4"/>
      <c r="M119" s="4"/>
      <c r="N119" s="4"/>
      <c r="O119" s="4"/>
      <c r="P119" s="4"/>
      <c r="Q119" s="4"/>
      <c r="AK119" s="44">
        <f t="shared" si="3"/>
        <v>1.502</v>
      </c>
    </row>
    <row r="120" spans="2:37" ht="12.75" customHeight="1">
      <c r="B120" s="26">
        <f t="shared" si="4"/>
        <v>112</v>
      </c>
      <c r="C120" s="129" t="s">
        <v>290</v>
      </c>
      <c r="D120" s="66"/>
      <c r="E120" s="125">
        <f>TRUNC((9)/1+1.9)</f>
        <v>10</v>
      </c>
      <c r="F120" s="67">
        <v>5</v>
      </c>
      <c r="G120" s="127" t="s">
        <v>57</v>
      </c>
      <c r="H120" s="128">
        <f>8.62+8.62</f>
        <v>17.239999999999998</v>
      </c>
      <c r="I120" s="55">
        <f t="shared" si="6"/>
        <v>179.81319999999997</v>
      </c>
      <c r="J120" s="59"/>
      <c r="L120" s="4"/>
      <c r="M120" s="4"/>
      <c r="N120" s="4"/>
      <c r="O120" s="4"/>
      <c r="P120" s="4"/>
      <c r="Q120" s="4"/>
      <c r="AK120" s="44">
        <f t="shared" si="3"/>
        <v>1.0429999999999999</v>
      </c>
    </row>
    <row r="121" spans="2:37" ht="12.75" customHeight="1">
      <c r="B121" s="26">
        <f t="shared" si="4"/>
        <v>113</v>
      </c>
      <c r="C121" s="129" t="s">
        <v>292</v>
      </c>
      <c r="D121" s="125"/>
      <c r="E121" s="125">
        <f>TRUNC((9)/1+1.9)</f>
        <v>10</v>
      </c>
      <c r="F121" s="126">
        <v>8</v>
      </c>
      <c r="G121" s="127" t="s">
        <v>65</v>
      </c>
      <c r="H121" s="128">
        <f>(34.5*0.25)-0.08+1.33</f>
        <v>9.875</v>
      </c>
      <c r="I121" s="55">
        <f t="shared" si="6"/>
        <v>263.66250000000002</v>
      </c>
      <c r="J121" s="59"/>
      <c r="K121" s="4"/>
      <c r="L121" s="4"/>
      <c r="M121" s="4"/>
      <c r="N121" s="4"/>
      <c r="O121" s="4"/>
      <c r="P121" s="4"/>
      <c r="Q121" s="4"/>
      <c r="AK121" s="44">
        <f t="shared" si="3"/>
        <v>2.67</v>
      </c>
    </row>
    <row r="122" spans="2:37" ht="12.75" customHeight="1">
      <c r="B122" s="26">
        <f t="shared" si="4"/>
        <v>114</v>
      </c>
      <c r="C122" s="130" t="s">
        <v>280</v>
      </c>
      <c r="D122" s="125"/>
      <c r="E122" s="125"/>
      <c r="F122" s="126"/>
      <c r="G122" s="127"/>
      <c r="H122" s="128"/>
      <c r="I122" s="55">
        <f t="shared" si="6"/>
        <v>0</v>
      </c>
      <c r="J122" s="59"/>
      <c r="K122" s="4"/>
      <c r="L122" s="4"/>
      <c r="M122" s="4"/>
      <c r="N122" s="4"/>
      <c r="O122" s="4"/>
      <c r="P122" s="4"/>
      <c r="Q122" s="4"/>
      <c r="AK122" s="44">
        <f t="shared" si="3"/>
        <v>0</v>
      </c>
    </row>
    <row r="123" spans="2:37" ht="12.75" customHeight="1">
      <c r="B123" s="26">
        <f t="shared" si="4"/>
        <v>115</v>
      </c>
      <c r="C123" s="129" t="s">
        <v>288</v>
      </c>
      <c r="D123" s="125"/>
      <c r="E123" s="125">
        <f>TRUNC((9.83)/1+1.9)</f>
        <v>11</v>
      </c>
      <c r="F123" s="126">
        <v>6</v>
      </c>
      <c r="G123" s="127" t="s">
        <v>65</v>
      </c>
      <c r="H123" s="128">
        <f>(19.67*0.35)-0.08+1</f>
        <v>7.8045</v>
      </c>
      <c r="I123" s="55">
        <f t="shared" si="6"/>
        <v>128.94594900000001</v>
      </c>
      <c r="J123" s="59"/>
      <c r="K123" s="4"/>
      <c r="L123" s="4"/>
      <c r="M123" s="4"/>
      <c r="N123" s="4"/>
      <c r="O123" s="4"/>
      <c r="P123" s="4"/>
      <c r="Q123" s="4"/>
      <c r="AK123" s="44">
        <f t="shared" si="3"/>
        <v>1.502</v>
      </c>
    </row>
    <row r="124" spans="2:37" ht="12.75" customHeight="1">
      <c r="B124" s="26">
        <f t="shared" si="4"/>
        <v>116</v>
      </c>
      <c r="C124" s="129" t="s">
        <v>291</v>
      </c>
      <c r="D124" s="66"/>
      <c r="E124" s="125">
        <f>TRUNC((9.83)/0.5+1.9)</f>
        <v>21</v>
      </c>
      <c r="F124" s="67">
        <v>9</v>
      </c>
      <c r="G124" s="127" t="s">
        <v>57</v>
      </c>
      <c r="H124" s="128">
        <f>10.38+10.38</f>
        <v>20.76</v>
      </c>
      <c r="I124" s="55">
        <f t="shared" si="6"/>
        <v>1482.2640000000001</v>
      </c>
      <c r="J124" s="59"/>
      <c r="K124" s="4"/>
      <c r="L124" s="4"/>
      <c r="M124" s="4"/>
      <c r="N124" s="4"/>
      <c r="O124" s="4"/>
      <c r="P124" s="4"/>
      <c r="Q124" s="4"/>
      <c r="AK124" s="44">
        <f t="shared" si="3"/>
        <v>3.4</v>
      </c>
    </row>
    <row r="125" spans="2:37" ht="12.75" customHeight="1">
      <c r="B125" s="26">
        <f t="shared" si="4"/>
        <v>117</v>
      </c>
      <c r="C125" s="129" t="s">
        <v>289</v>
      </c>
      <c r="D125" s="66"/>
      <c r="E125" s="125">
        <f>TRUNC((9.83)/0.83+1.9)</f>
        <v>13</v>
      </c>
      <c r="F125" s="67">
        <v>8</v>
      </c>
      <c r="G125" s="127" t="s">
        <v>57</v>
      </c>
      <c r="H125" s="128">
        <f>10.38+10.38</f>
        <v>20.76</v>
      </c>
      <c r="I125" s="55">
        <f t="shared" si="6"/>
        <v>720.57960000000003</v>
      </c>
      <c r="J125" s="59"/>
      <c r="K125" s="4"/>
      <c r="L125" s="4"/>
      <c r="M125" s="4"/>
      <c r="N125" s="4"/>
      <c r="O125" s="4"/>
      <c r="P125" s="4"/>
      <c r="Q125" s="4"/>
      <c r="AK125" s="44">
        <f t="shared" si="3"/>
        <v>2.67</v>
      </c>
    </row>
    <row r="126" spans="2:37" ht="12.75" customHeight="1">
      <c r="B126" s="26">
        <f t="shared" si="4"/>
        <v>118</v>
      </c>
      <c r="C126" s="129" t="s">
        <v>296</v>
      </c>
      <c r="D126" s="66"/>
      <c r="E126" s="125">
        <f>TRUNC((9.83)/0.83+1.9)</f>
        <v>13</v>
      </c>
      <c r="F126" s="67">
        <v>5</v>
      </c>
      <c r="G126" s="127" t="s">
        <v>57</v>
      </c>
      <c r="H126" s="128">
        <f>8.48+8.48</f>
        <v>16.96</v>
      </c>
      <c r="I126" s="55">
        <f t="shared" si="6"/>
        <v>229.96064000000001</v>
      </c>
      <c r="J126" s="59"/>
      <c r="K126" s="4"/>
      <c r="L126" s="4"/>
      <c r="M126" s="4"/>
      <c r="N126" s="4"/>
      <c r="O126" s="4"/>
      <c r="P126" s="4"/>
      <c r="Q126" s="4"/>
      <c r="AK126" s="44">
        <f t="shared" si="3"/>
        <v>1.0429999999999999</v>
      </c>
    </row>
    <row r="127" spans="2:37" ht="12.75" customHeight="1">
      <c r="B127" s="26">
        <f t="shared" si="4"/>
        <v>119</v>
      </c>
      <c r="C127" s="129" t="s">
        <v>294</v>
      </c>
      <c r="D127" s="66"/>
      <c r="E127" s="125">
        <f>TRUNC((9.83)/0.83+1.9)</f>
        <v>13</v>
      </c>
      <c r="F127" s="67">
        <v>9</v>
      </c>
      <c r="G127" s="127" t="s">
        <v>57</v>
      </c>
      <c r="H127" s="128">
        <f>11.4+11.4</f>
        <v>22.8</v>
      </c>
      <c r="I127" s="55">
        <f t="shared" si="6"/>
        <v>1007.76</v>
      </c>
      <c r="J127" s="59"/>
      <c r="K127" s="4"/>
      <c r="L127" s="4"/>
      <c r="M127" s="4"/>
      <c r="N127" s="4"/>
      <c r="O127" s="4"/>
      <c r="P127" s="4"/>
      <c r="Q127" s="4"/>
      <c r="AK127" s="44">
        <f t="shared" si="3"/>
        <v>3.4</v>
      </c>
    </row>
    <row r="128" spans="2:37" ht="12.75" customHeight="1">
      <c r="B128" s="26">
        <f t="shared" si="4"/>
        <v>120</v>
      </c>
      <c r="C128" s="129" t="s">
        <v>290</v>
      </c>
      <c r="D128" s="66"/>
      <c r="E128" s="125">
        <f>TRUNC((9.83)/1+1.9)</f>
        <v>11</v>
      </c>
      <c r="F128" s="67">
        <v>5</v>
      </c>
      <c r="G128" s="127" t="s">
        <v>57</v>
      </c>
      <c r="H128" s="128">
        <f>11.4+11.4</f>
        <v>22.8</v>
      </c>
      <c r="I128" s="55">
        <f t="shared" si="6"/>
        <v>261.58440000000002</v>
      </c>
      <c r="J128" s="59"/>
      <c r="K128" s="4"/>
      <c r="M128" s="4"/>
      <c r="N128" s="4"/>
      <c r="O128" s="4"/>
      <c r="P128" s="4"/>
      <c r="Q128" s="4"/>
      <c r="AK128" s="44">
        <f t="shared" si="3"/>
        <v>1.0429999999999999</v>
      </c>
    </row>
    <row r="129" spans="2:37" ht="12.75" customHeight="1">
      <c r="B129" s="26">
        <f t="shared" si="4"/>
        <v>121</v>
      </c>
      <c r="C129" s="129" t="s">
        <v>288</v>
      </c>
      <c r="D129" s="125"/>
      <c r="E129" s="125">
        <f>TRUNC((9)/1+1.9)</f>
        <v>10</v>
      </c>
      <c r="F129" s="126">
        <v>6</v>
      </c>
      <c r="G129" s="127" t="s">
        <v>65</v>
      </c>
      <c r="H129" s="128">
        <f>(32.58*0.35)-0.08+1</f>
        <v>12.322999999999999</v>
      </c>
      <c r="I129" s="55">
        <f t="shared" si="6"/>
        <v>185.09145999999998</v>
      </c>
      <c r="J129" s="59"/>
      <c r="K129" s="4"/>
      <c r="L129" s="4"/>
      <c r="M129" s="4"/>
      <c r="N129" s="4"/>
      <c r="O129" s="4"/>
      <c r="P129" s="4"/>
      <c r="Q129" s="4"/>
      <c r="AK129" s="44">
        <f t="shared" si="3"/>
        <v>1.502</v>
      </c>
    </row>
    <row r="130" spans="2:37" ht="12.75" customHeight="1">
      <c r="B130" s="26">
        <f t="shared" si="4"/>
        <v>122</v>
      </c>
      <c r="C130" s="129" t="s">
        <v>288</v>
      </c>
      <c r="D130" s="125"/>
      <c r="E130" s="125">
        <f>TRUNC((9)/1+1.9)</f>
        <v>10</v>
      </c>
      <c r="F130" s="126">
        <v>6</v>
      </c>
      <c r="G130" s="127" t="s">
        <v>65</v>
      </c>
      <c r="H130" s="128">
        <f>34.08-0.08*2+1*2</f>
        <v>35.92</v>
      </c>
      <c r="I130" s="55">
        <f t="shared" si="6"/>
        <v>539.51840000000004</v>
      </c>
      <c r="J130" s="59"/>
      <c r="K130" s="4"/>
      <c r="L130" s="4"/>
      <c r="M130" s="4"/>
      <c r="N130" s="4"/>
      <c r="O130" s="4"/>
      <c r="P130" s="4"/>
      <c r="Q130" s="4"/>
      <c r="AK130" s="44">
        <f t="shared" si="3"/>
        <v>1.502</v>
      </c>
    </row>
    <row r="131" spans="2:37" ht="12.75" customHeight="1">
      <c r="B131" s="26">
        <f t="shared" si="4"/>
        <v>123</v>
      </c>
      <c r="C131" s="130" t="s">
        <v>282</v>
      </c>
      <c r="D131" s="125"/>
      <c r="E131" s="125"/>
      <c r="F131" s="126"/>
      <c r="G131" s="127"/>
      <c r="H131" s="128"/>
      <c r="I131" s="55">
        <f t="shared" si="6"/>
        <v>0</v>
      </c>
      <c r="J131" s="59"/>
      <c r="L131" s="4"/>
      <c r="M131" s="4"/>
      <c r="N131" s="4"/>
      <c r="O131" s="4"/>
      <c r="P131" s="4"/>
      <c r="Q131" s="4"/>
      <c r="AK131" s="44">
        <f t="shared" si="3"/>
        <v>0</v>
      </c>
    </row>
    <row r="132" spans="2:37" ht="12.75" customHeight="1">
      <c r="B132" s="26">
        <f t="shared" si="4"/>
        <v>124</v>
      </c>
      <c r="C132" s="129" t="s">
        <v>288</v>
      </c>
      <c r="D132" s="125"/>
      <c r="E132" s="125">
        <f>TRUNC((8.83)/1+1.9)</f>
        <v>10</v>
      </c>
      <c r="F132" s="126">
        <v>6</v>
      </c>
      <c r="G132" s="127" t="s">
        <v>65</v>
      </c>
      <c r="H132" s="128">
        <f>(19.25*0.25)-0.08+1</f>
        <v>5.7324999999999999</v>
      </c>
      <c r="I132" s="55">
        <f t="shared" si="6"/>
        <v>86.102149999999995</v>
      </c>
      <c r="J132" s="59"/>
      <c r="K132" s="4"/>
      <c r="L132" s="4"/>
      <c r="M132" s="4"/>
      <c r="N132" s="4"/>
      <c r="O132" s="4"/>
      <c r="P132" s="4"/>
      <c r="Q132" s="4"/>
      <c r="AK132" s="44">
        <f t="shared" si="3"/>
        <v>1.502</v>
      </c>
    </row>
    <row r="133" spans="2:37" ht="12.75" customHeight="1">
      <c r="B133" s="26">
        <f t="shared" si="4"/>
        <v>125</v>
      </c>
      <c r="C133" s="129" t="s">
        <v>292</v>
      </c>
      <c r="D133" s="125"/>
      <c r="E133" s="125">
        <f>TRUNC((8.83)/1+1.9)</f>
        <v>10</v>
      </c>
      <c r="F133" s="126">
        <v>8</v>
      </c>
      <c r="G133" s="127" t="s">
        <v>57</v>
      </c>
      <c r="H133" s="128">
        <f>7.67+7.67</f>
        <v>15.34</v>
      </c>
      <c r="I133" s="55">
        <f t="shared" si="6"/>
        <v>409.57799999999997</v>
      </c>
      <c r="J133" s="59"/>
      <c r="K133" s="4"/>
      <c r="L133" s="4"/>
      <c r="M133" s="4"/>
      <c r="N133" s="4"/>
      <c r="O133" s="4"/>
      <c r="P133" s="4"/>
      <c r="Q133" s="4"/>
      <c r="AK133" s="44">
        <f t="shared" si="3"/>
        <v>2.67</v>
      </c>
    </row>
    <row r="134" spans="2:37" ht="12.75" customHeight="1">
      <c r="B134" s="26">
        <f t="shared" si="4"/>
        <v>126</v>
      </c>
      <c r="C134" s="129" t="s">
        <v>288</v>
      </c>
      <c r="D134" s="125"/>
      <c r="E134" s="125">
        <f>TRUNC((8.83)/1+1.9)</f>
        <v>10</v>
      </c>
      <c r="F134" s="126">
        <v>6</v>
      </c>
      <c r="G134" s="127" t="s">
        <v>57</v>
      </c>
      <c r="H134" s="128">
        <f>7.67+7.67</f>
        <v>15.34</v>
      </c>
      <c r="I134" s="55">
        <f t="shared" si="6"/>
        <v>230.40679999999998</v>
      </c>
      <c r="J134" s="59"/>
      <c r="L134" s="4"/>
      <c r="M134" s="4"/>
      <c r="N134" s="4"/>
      <c r="O134" s="4"/>
      <c r="P134" s="4"/>
      <c r="Q134" s="4"/>
      <c r="AK134" s="44">
        <f t="shared" si="3"/>
        <v>1.502</v>
      </c>
    </row>
    <row r="135" spans="2:37" ht="12.75" customHeight="1">
      <c r="B135" s="26">
        <f t="shared" si="4"/>
        <v>127</v>
      </c>
      <c r="C135" s="129" t="s">
        <v>290</v>
      </c>
      <c r="D135" s="125"/>
      <c r="E135" s="125">
        <f>TRUNC((8.83)/1+1.9)</f>
        <v>10</v>
      </c>
      <c r="F135" s="126">
        <v>5</v>
      </c>
      <c r="G135" s="127" t="s">
        <v>57</v>
      </c>
      <c r="H135" s="128">
        <f>6.23+6.23</f>
        <v>12.46</v>
      </c>
      <c r="I135" s="55">
        <f t="shared" si="6"/>
        <v>129.95779999999999</v>
      </c>
      <c r="J135" s="59"/>
      <c r="K135" s="4"/>
      <c r="L135" s="4"/>
      <c r="M135" s="4"/>
      <c r="N135" s="4"/>
      <c r="O135" s="4"/>
      <c r="P135" s="4"/>
      <c r="Q135" s="4"/>
      <c r="AK135" s="44">
        <f t="shared" si="3"/>
        <v>1.0429999999999999</v>
      </c>
    </row>
    <row r="136" spans="2:37" ht="12.75" customHeight="1">
      <c r="B136" s="26">
        <f t="shared" si="4"/>
        <v>128</v>
      </c>
      <c r="C136" s="129" t="s">
        <v>295</v>
      </c>
      <c r="D136" s="125"/>
      <c r="E136" s="125">
        <f>TRUNC((8.83)/0.83+1.9)</f>
        <v>12</v>
      </c>
      <c r="F136" s="126">
        <v>6</v>
      </c>
      <c r="G136" s="127" t="s">
        <v>57</v>
      </c>
      <c r="H136" s="128">
        <f>7.81+7.81</f>
        <v>15.62</v>
      </c>
      <c r="I136" s="55">
        <f t="shared" si="6"/>
        <v>281.53487999999999</v>
      </c>
      <c r="J136" s="59"/>
      <c r="K136" s="4"/>
      <c r="L136" s="4"/>
      <c r="M136" s="4"/>
      <c r="N136" s="4"/>
      <c r="O136" s="4"/>
      <c r="P136" s="4"/>
      <c r="Q136" s="4"/>
      <c r="AK136" s="44">
        <f t="shared" si="3"/>
        <v>1.502</v>
      </c>
    </row>
    <row r="137" spans="2:37" ht="12.75" customHeight="1">
      <c r="B137" s="26">
        <f t="shared" si="4"/>
        <v>129</v>
      </c>
      <c r="C137" s="129" t="s">
        <v>290</v>
      </c>
      <c r="D137" s="125"/>
      <c r="E137" s="125">
        <f>TRUNC((8.83)/1+1.9)</f>
        <v>10</v>
      </c>
      <c r="F137" s="126">
        <v>5</v>
      </c>
      <c r="G137" s="127" t="s">
        <v>65</v>
      </c>
      <c r="H137" s="128">
        <f>(31.25*0.25)-0.08+0.83</f>
        <v>8.5625</v>
      </c>
      <c r="I137" s="55">
        <f t="shared" si="6"/>
        <v>89.306874999999991</v>
      </c>
      <c r="J137" s="59"/>
      <c r="K137" s="4"/>
      <c r="L137" s="4"/>
      <c r="M137" s="4"/>
      <c r="N137" s="4"/>
      <c r="O137" s="4"/>
      <c r="P137" s="4"/>
      <c r="Q137" s="4"/>
      <c r="AK137" s="44">
        <f t="shared" ref="AK137:AK200" si="7">IF(F137="",0,VLOOKUP(F137,$CI$16:$CJ$358,2,FALSE))</f>
        <v>1.0429999999999999</v>
      </c>
    </row>
    <row r="138" spans="2:37" ht="12.75" customHeight="1">
      <c r="B138" s="26">
        <f t="shared" ref="B138:B201" si="8">IF(B137="SL.NO",1,B137+1)</f>
        <v>130</v>
      </c>
      <c r="C138" s="130" t="s">
        <v>280</v>
      </c>
      <c r="D138" s="125"/>
      <c r="E138" s="125"/>
      <c r="F138" s="126"/>
      <c r="G138" s="127"/>
      <c r="H138" s="128"/>
      <c r="I138" s="55">
        <f t="shared" si="6"/>
        <v>0</v>
      </c>
      <c r="J138" s="59"/>
      <c r="K138" s="4"/>
      <c r="L138" s="4"/>
      <c r="M138" s="4"/>
      <c r="N138" s="4"/>
      <c r="O138" s="4"/>
      <c r="P138" s="4"/>
      <c r="Q138" s="4"/>
      <c r="AK138" s="44">
        <f t="shared" si="7"/>
        <v>0</v>
      </c>
    </row>
    <row r="139" spans="2:37" ht="12.75" customHeight="1">
      <c r="B139" s="26">
        <f t="shared" si="8"/>
        <v>131</v>
      </c>
      <c r="C139" s="129" t="s">
        <v>288</v>
      </c>
      <c r="D139" s="125"/>
      <c r="E139" s="125">
        <f>TRUNC((11.08)/1+1.9)</f>
        <v>12</v>
      </c>
      <c r="F139" s="126">
        <v>6</v>
      </c>
      <c r="G139" s="127" t="s">
        <v>65</v>
      </c>
      <c r="H139" s="128">
        <f>(18.92*0.35)-0.08+1</f>
        <v>7.5419999999999998</v>
      </c>
      <c r="I139" s="55">
        <f t="shared" si="6"/>
        <v>135.93700799999999</v>
      </c>
      <c r="J139" s="59"/>
      <c r="K139" s="4"/>
      <c r="L139" s="4"/>
      <c r="M139" s="4"/>
      <c r="N139" s="4"/>
      <c r="O139" s="4"/>
      <c r="P139" s="4"/>
      <c r="Q139" s="4"/>
      <c r="AK139" s="44">
        <f t="shared" si="7"/>
        <v>1.502</v>
      </c>
    </row>
    <row r="140" spans="2:37" ht="12.75" customHeight="1">
      <c r="B140" s="26">
        <f t="shared" si="8"/>
        <v>132</v>
      </c>
      <c r="C140" s="129" t="s">
        <v>291</v>
      </c>
      <c r="D140" s="125"/>
      <c r="E140" s="125">
        <f>TRUNC((11.08)/0.5+1.9)</f>
        <v>24</v>
      </c>
      <c r="F140" s="126">
        <v>9</v>
      </c>
      <c r="G140" s="127" t="s">
        <v>57</v>
      </c>
      <c r="H140" s="128">
        <f>11.02+11.02</f>
        <v>22.04</v>
      </c>
      <c r="I140" s="55">
        <f t="shared" si="6"/>
        <v>1798.4639999999999</v>
      </c>
      <c r="J140" s="59"/>
      <c r="K140" s="4"/>
      <c r="L140" s="4"/>
      <c r="M140" s="4"/>
      <c r="N140" s="4"/>
      <c r="O140" s="4"/>
      <c r="P140" s="4"/>
      <c r="Q140" s="4"/>
      <c r="AK140" s="44">
        <f t="shared" si="7"/>
        <v>3.4</v>
      </c>
    </row>
    <row r="141" spans="2:37" ht="12.75" customHeight="1">
      <c r="B141" s="26">
        <f t="shared" si="8"/>
        <v>133</v>
      </c>
      <c r="C141" s="129" t="s">
        <v>290</v>
      </c>
      <c r="D141" s="125"/>
      <c r="E141" s="125">
        <f>TRUNC((11.08)/1+1.9)</f>
        <v>12</v>
      </c>
      <c r="F141" s="126">
        <v>5</v>
      </c>
      <c r="G141" s="127" t="s">
        <v>57</v>
      </c>
      <c r="H141" s="128">
        <v>31.17</v>
      </c>
      <c r="I141" s="55">
        <f t="shared" si="6"/>
        <v>390.12371999999993</v>
      </c>
      <c r="J141" s="59"/>
      <c r="K141" s="4"/>
      <c r="L141" s="4"/>
      <c r="M141" s="4"/>
      <c r="N141" s="4"/>
      <c r="O141" s="4"/>
      <c r="P141" s="4"/>
      <c r="Q141" s="4"/>
      <c r="AK141" s="44">
        <f t="shared" si="7"/>
        <v>1.0429999999999999</v>
      </c>
    </row>
    <row r="142" spans="2:37" ht="12.75" customHeight="1">
      <c r="B142" s="26">
        <f t="shared" si="8"/>
        <v>134</v>
      </c>
      <c r="C142" s="129" t="s">
        <v>289</v>
      </c>
      <c r="D142" s="125"/>
      <c r="E142" s="125">
        <f>TRUNC((11.08)/0.83+1.9)</f>
        <v>15</v>
      </c>
      <c r="F142" s="126">
        <v>8</v>
      </c>
      <c r="G142" s="127" t="s">
        <v>57</v>
      </c>
      <c r="H142" s="128">
        <f>11.02+11.02</f>
        <v>22.04</v>
      </c>
      <c r="I142" s="55">
        <f t="shared" si="6"/>
        <v>882.70199999999988</v>
      </c>
      <c r="J142" s="59"/>
      <c r="K142" s="4"/>
      <c r="M142" s="4"/>
      <c r="N142" s="4"/>
      <c r="O142" s="4"/>
      <c r="P142" s="4"/>
      <c r="Q142" s="4"/>
      <c r="AK142" s="44">
        <f t="shared" si="7"/>
        <v>2.67</v>
      </c>
    </row>
    <row r="143" spans="2:37" ht="12.75" customHeight="1">
      <c r="B143" s="26">
        <f t="shared" si="8"/>
        <v>135</v>
      </c>
      <c r="C143" s="129" t="s">
        <v>288</v>
      </c>
      <c r="D143" s="125"/>
      <c r="E143" s="125">
        <f>TRUNC((11.08)/1+1.9)</f>
        <v>12</v>
      </c>
      <c r="F143" s="126">
        <v>6</v>
      </c>
      <c r="G143" s="127" t="s">
        <v>57</v>
      </c>
      <c r="H143" s="128">
        <f>9.08+9.08</f>
        <v>18.16</v>
      </c>
      <c r="I143" s="55">
        <f t="shared" si="6"/>
        <v>327.31584000000004</v>
      </c>
      <c r="J143" s="59"/>
      <c r="K143" s="4"/>
      <c r="L143" s="4"/>
      <c r="M143" s="4"/>
      <c r="N143" s="4"/>
      <c r="O143" s="4"/>
      <c r="P143" s="4"/>
      <c r="Q143" s="4"/>
      <c r="AK143" s="44">
        <f t="shared" si="7"/>
        <v>1.502</v>
      </c>
    </row>
    <row r="144" spans="2:37" ht="12.75" customHeight="1">
      <c r="B144" s="26">
        <f t="shared" si="8"/>
        <v>136</v>
      </c>
      <c r="C144" s="129" t="s">
        <v>289</v>
      </c>
      <c r="D144" s="125"/>
      <c r="E144" s="125">
        <f>TRUNC((11.08)/0.83+1.9)</f>
        <v>15</v>
      </c>
      <c r="F144" s="126">
        <v>8</v>
      </c>
      <c r="G144" s="127" t="s">
        <v>57</v>
      </c>
      <c r="H144" s="128">
        <f>10.93+10.93</f>
        <v>21.86</v>
      </c>
      <c r="I144" s="55">
        <f t="shared" si="6"/>
        <v>875.49299999999994</v>
      </c>
      <c r="J144" s="59"/>
      <c r="K144" s="4"/>
      <c r="L144" s="4"/>
      <c r="M144" s="4"/>
      <c r="N144" s="4"/>
      <c r="O144" s="4"/>
      <c r="P144" s="4"/>
      <c r="Q144" s="4"/>
      <c r="AK144" s="44">
        <f t="shared" si="7"/>
        <v>2.67</v>
      </c>
    </row>
    <row r="145" spans="2:37" ht="12.75" customHeight="1">
      <c r="B145" s="26">
        <f t="shared" si="8"/>
        <v>137</v>
      </c>
      <c r="C145" s="129" t="s">
        <v>290</v>
      </c>
      <c r="D145" s="125"/>
      <c r="E145" s="125">
        <f>TRUNC((11.08)/1+1.9)</f>
        <v>12</v>
      </c>
      <c r="F145" s="126">
        <v>5</v>
      </c>
      <c r="G145" s="127" t="s">
        <v>57</v>
      </c>
      <c r="H145" s="128">
        <v>30</v>
      </c>
      <c r="I145" s="55">
        <f t="shared" si="6"/>
        <v>375.48</v>
      </c>
      <c r="J145" s="59"/>
      <c r="L145" s="4"/>
      <c r="M145" s="4"/>
      <c r="N145" s="4"/>
      <c r="O145" s="4"/>
      <c r="P145" s="4"/>
      <c r="Q145" s="4"/>
      <c r="AK145" s="44">
        <f t="shared" si="7"/>
        <v>1.0429999999999999</v>
      </c>
    </row>
    <row r="146" spans="2:37" ht="12.75" customHeight="1">
      <c r="B146" s="26">
        <f t="shared" si="8"/>
        <v>138</v>
      </c>
      <c r="C146" s="129" t="s">
        <v>287</v>
      </c>
      <c r="D146" s="125"/>
      <c r="E146" s="125">
        <f>TRUNC((11.08)/1+1.9)</f>
        <v>12</v>
      </c>
      <c r="F146" s="126">
        <v>7</v>
      </c>
      <c r="G146" s="127" t="s">
        <v>57</v>
      </c>
      <c r="H146" s="128">
        <f>10.76+10.76</f>
        <v>21.52</v>
      </c>
      <c r="I146" s="55">
        <f t="shared" si="6"/>
        <v>527.84256000000005</v>
      </c>
      <c r="J146" s="59"/>
      <c r="K146" s="4"/>
      <c r="L146" s="4"/>
      <c r="M146" s="4"/>
      <c r="N146" s="4"/>
      <c r="O146" s="4"/>
      <c r="P146" s="4"/>
      <c r="Q146" s="4"/>
      <c r="AK146" s="44">
        <f t="shared" si="7"/>
        <v>2.044</v>
      </c>
    </row>
    <row r="147" spans="2:37" ht="12.75" customHeight="1">
      <c r="B147" s="26">
        <f t="shared" si="8"/>
        <v>139</v>
      </c>
      <c r="C147" s="129" t="s">
        <v>288</v>
      </c>
      <c r="D147" s="125"/>
      <c r="E147" s="125">
        <f>TRUNC((11.08)/1+1.9)</f>
        <v>12</v>
      </c>
      <c r="F147" s="126">
        <v>6</v>
      </c>
      <c r="G147" s="127" t="s">
        <v>57</v>
      </c>
      <c r="H147" s="128">
        <v>37.75</v>
      </c>
      <c r="I147" s="55">
        <f t="shared" si="6"/>
        <v>680.40599999999995</v>
      </c>
      <c r="J147" s="59"/>
      <c r="K147" s="4"/>
      <c r="L147" s="4"/>
      <c r="M147" s="4"/>
      <c r="N147" s="4"/>
      <c r="O147" s="4"/>
      <c r="P147" s="4"/>
      <c r="Q147" s="4"/>
      <c r="AK147" s="44">
        <f t="shared" si="7"/>
        <v>1.502</v>
      </c>
    </row>
    <row r="148" spans="2:37" ht="12.75" customHeight="1">
      <c r="B148" s="26">
        <f t="shared" si="8"/>
        <v>140</v>
      </c>
      <c r="C148" s="129" t="s">
        <v>290</v>
      </c>
      <c r="D148" s="125"/>
      <c r="E148" s="125">
        <f>TRUNC((11.08)/1+1.9)</f>
        <v>12</v>
      </c>
      <c r="F148" s="126">
        <v>5</v>
      </c>
      <c r="G148" s="127" t="s">
        <v>65</v>
      </c>
      <c r="H148" s="128">
        <f>(16.42*0.35)-0.08+0.83</f>
        <v>6.4969999999999999</v>
      </c>
      <c r="I148" s="55">
        <f t="shared" si="6"/>
        <v>81.316451999999998</v>
      </c>
      <c r="J148" s="59"/>
      <c r="L148" s="4"/>
      <c r="M148" s="4"/>
      <c r="N148" s="4"/>
      <c r="O148" s="4"/>
      <c r="P148" s="4"/>
      <c r="Q148" s="4"/>
      <c r="AK148" s="44">
        <f t="shared" si="7"/>
        <v>1.0429999999999999</v>
      </c>
    </row>
    <row r="149" spans="2:37" ht="12.75" customHeight="1">
      <c r="B149" s="26">
        <f t="shared" si="8"/>
        <v>141</v>
      </c>
      <c r="C149" s="130" t="s">
        <v>282</v>
      </c>
      <c r="D149" s="66"/>
      <c r="E149" s="66"/>
      <c r="F149" s="67"/>
      <c r="G149" s="66"/>
      <c r="H149" s="68"/>
      <c r="I149" s="55">
        <f t="shared" si="6"/>
        <v>0</v>
      </c>
      <c r="J149" s="59"/>
      <c r="K149" s="4"/>
      <c r="L149" s="4"/>
      <c r="M149" s="4"/>
      <c r="N149" s="4"/>
      <c r="O149" s="4"/>
      <c r="P149" s="4"/>
      <c r="Q149" s="4"/>
      <c r="AK149" s="44">
        <f t="shared" si="7"/>
        <v>0</v>
      </c>
    </row>
    <row r="150" spans="2:37" ht="12.75" customHeight="1">
      <c r="B150" s="26">
        <f t="shared" si="8"/>
        <v>142</v>
      </c>
      <c r="C150" s="129" t="s">
        <v>290</v>
      </c>
      <c r="D150" s="125"/>
      <c r="E150" s="125">
        <f>TRUNC((10.33)/1+1.9)</f>
        <v>12</v>
      </c>
      <c r="F150" s="126">
        <v>5</v>
      </c>
      <c r="G150" s="127" t="s">
        <v>65</v>
      </c>
      <c r="H150" s="128">
        <f>(18*0.25)-0.08+0.83</f>
        <v>5.25</v>
      </c>
      <c r="I150" s="55">
        <f t="shared" si="6"/>
        <v>65.709000000000003</v>
      </c>
      <c r="J150" s="59"/>
      <c r="K150" s="4"/>
      <c r="L150" s="4"/>
      <c r="M150" s="4"/>
      <c r="N150" s="4"/>
      <c r="O150" s="4"/>
      <c r="P150" s="4"/>
      <c r="Q150" s="4"/>
      <c r="AK150" s="44">
        <f t="shared" si="7"/>
        <v>1.0429999999999999</v>
      </c>
    </row>
    <row r="151" spans="2:37" ht="12.75" customHeight="1">
      <c r="B151" s="26">
        <f t="shared" si="8"/>
        <v>143</v>
      </c>
      <c r="C151" s="129" t="s">
        <v>293</v>
      </c>
      <c r="D151" s="125"/>
      <c r="E151" s="125">
        <f>TRUNC((10.33)/1+1.9)</f>
        <v>12</v>
      </c>
      <c r="F151" s="126">
        <v>9</v>
      </c>
      <c r="G151" s="127" t="s">
        <v>57</v>
      </c>
      <c r="H151" s="128">
        <f>7.89+7.89</f>
        <v>15.78</v>
      </c>
      <c r="I151" s="55">
        <f t="shared" si="6"/>
        <v>643.82399999999996</v>
      </c>
      <c r="J151" s="59"/>
      <c r="K151" s="4"/>
      <c r="L151" s="4"/>
      <c r="M151" s="4"/>
      <c r="N151" s="4"/>
      <c r="O151" s="4"/>
      <c r="P151" s="4"/>
      <c r="Q151" s="4"/>
      <c r="AK151" s="44">
        <f t="shared" si="7"/>
        <v>3.4</v>
      </c>
    </row>
    <row r="152" spans="2:37" ht="12.75" customHeight="1">
      <c r="B152" s="26">
        <f t="shared" si="8"/>
        <v>144</v>
      </c>
      <c r="C152" s="129" t="s">
        <v>290</v>
      </c>
      <c r="D152" s="125"/>
      <c r="E152" s="125">
        <f>TRUNC((10.33)/1+1.9)</f>
        <v>12</v>
      </c>
      <c r="F152" s="126">
        <v>5</v>
      </c>
      <c r="G152" s="127" t="s">
        <v>57</v>
      </c>
      <c r="H152" s="128">
        <v>17.329999999999998</v>
      </c>
      <c r="I152" s="55">
        <f t="shared" si="6"/>
        <v>216.90227999999996</v>
      </c>
      <c r="J152" s="59"/>
      <c r="K152" s="4"/>
      <c r="L152" s="4"/>
      <c r="M152" s="4"/>
      <c r="N152" s="4"/>
      <c r="O152" s="4"/>
      <c r="P152" s="4"/>
      <c r="Q152" s="4"/>
      <c r="AK152" s="44">
        <f t="shared" si="7"/>
        <v>1.0429999999999999</v>
      </c>
    </row>
    <row r="153" spans="2:37" ht="12.75" customHeight="1">
      <c r="B153" s="26">
        <f t="shared" si="8"/>
        <v>145</v>
      </c>
      <c r="C153" s="129" t="s">
        <v>290</v>
      </c>
      <c r="D153" s="125"/>
      <c r="E153" s="125">
        <f>TRUNC((12)/1+1.9)</f>
        <v>13</v>
      </c>
      <c r="F153" s="126">
        <v>5</v>
      </c>
      <c r="G153" s="127" t="s">
        <v>65</v>
      </c>
      <c r="H153" s="128">
        <f>(18*0.25)-0.08+0.83</f>
        <v>5.25</v>
      </c>
      <c r="I153" s="55">
        <f t="shared" si="6"/>
        <v>71.184749999999994</v>
      </c>
      <c r="J153" s="59"/>
      <c r="K153" s="4"/>
      <c r="L153" s="4"/>
      <c r="M153" s="4"/>
      <c r="N153" s="4"/>
      <c r="O153" s="4"/>
      <c r="P153" s="4"/>
      <c r="Q153" s="4"/>
      <c r="AK153" s="44">
        <f t="shared" si="7"/>
        <v>1.0429999999999999</v>
      </c>
    </row>
    <row r="154" spans="2:37" ht="12.75" customHeight="1">
      <c r="B154" s="26">
        <f t="shared" si="8"/>
        <v>146</v>
      </c>
      <c r="C154" s="129" t="s">
        <v>293</v>
      </c>
      <c r="D154" s="125"/>
      <c r="E154" s="125">
        <f>TRUNC((12)/1+1.9)</f>
        <v>13</v>
      </c>
      <c r="F154" s="126">
        <v>9</v>
      </c>
      <c r="G154" s="127" t="s">
        <v>57</v>
      </c>
      <c r="H154" s="128">
        <f>7.89+7.89</f>
        <v>15.78</v>
      </c>
      <c r="I154" s="55">
        <f t="shared" si="6"/>
        <v>697.47599999999989</v>
      </c>
      <c r="J154" s="59"/>
      <c r="K154" s="4"/>
      <c r="L154" s="4"/>
      <c r="M154" s="4"/>
      <c r="N154" s="4"/>
      <c r="O154" s="4"/>
      <c r="P154" s="4"/>
      <c r="Q154" s="4"/>
      <c r="AK154" s="44">
        <f t="shared" si="7"/>
        <v>3.4</v>
      </c>
    </row>
    <row r="155" spans="2:37" ht="12.75" customHeight="1">
      <c r="B155" s="26">
        <f t="shared" si="8"/>
        <v>147</v>
      </c>
      <c r="C155" s="129" t="s">
        <v>290</v>
      </c>
      <c r="D155" s="125"/>
      <c r="E155" s="125">
        <f>TRUNC((12)/1+1.9)</f>
        <v>13</v>
      </c>
      <c r="F155" s="126">
        <v>5</v>
      </c>
      <c r="G155" s="127" t="s">
        <v>57</v>
      </c>
      <c r="H155" s="128">
        <v>17.329999999999998</v>
      </c>
      <c r="I155" s="55">
        <f t="shared" si="6"/>
        <v>234.97746999999995</v>
      </c>
      <c r="J155" s="59"/>
      <c r="K155" s="4"/>
      <c r="L155" s="4"/>
      <c r="M155" s="4"/>
      <c r="N155" s="4"/>
      <c r="O155" s="4"/>
      <c r="P155" s="4"/>
      <c r="Q155" s="4"/>
      <c r="AK155" s="44">
        <f t="shared" si="7"/>
        <v>1.0429999999999999</v>
      </c>
    </row>
    <row r="156" spans="2:37" ht="12.75" customHeight="1">
      <c r="B156" s="26">
        <f t="shared" si="8"/>
        <v>148</v>
      </c>
      <c r="C156" s="130" t="s">
        <v>282</v>
      </c>
      <c r="D156" s="125"/>
      <c r="E156" s="125"/>
      <c r="F156" s="126"/>
      <c r="G156" s="127"/>
      <c r="H156" s="128"/>
      <c r="I156" s="55">
        <f t="shared" si="6"/>
        <v>0</v>
      </c>
      <c r="J156" s="59"/>
      <c r="K156" s="4"/>
      <c r="M156" s="4"/>
      <c r="N156" s="4"/>
      <c r="O156" s="4"/>
      <c r="P156" s="4"/>
      <c r="Q156" s="4"/>
      <c r="AK156" s="44">
        <f t="shared" si="7"/>
        <v>0</v>
      </c>
    </row>
    <row r="157" spans="2:37" ht="12.75" customHeight="1">
      <c r="B157" s="26">
        <f t="shared" si="8"/>
        <v>149</v>
      </c>
      <c r="C157" s="129" t="s">
        <v>290</v>
      </c>
      <c r="D157" s="125"/>
      <c r="E157" s="125">
        <f>TRUNC((14)/1+1.9)</f>
        <v>15</v>
      </c>
      <c r="F157" s="126">
        <v>5</v>
      </c>
      <c r="G157" s="127" t="s">
        <v>57</v>
      </c>
      <c r="H157" s="128">
        <v>15.25</v>
      </c>
      <c r="I157" s="55">
        <f t="shared" si="6"/>
        <v>238.58624999999998</v>
      </c>
      <c r="J157" s="59"/>
      <c r="K157" s="4"/>
      <c r="L157" s="4"/>
      <c r="M157" s="4"/>
      <c r="N157" s="4"/>
      <c r="O157" s="4"/>
      <c r="P157" s="4"/>
      <c r="Q157" s="4"/>
      <c r="AK157" s="44">
        <f t="shared" si="7"/>
        <v>1.0429999999999999</v>
      </c>
    </row>
    <row r="158" spans="2:37" ht="12.75" customHeight="1">
      <c r="B158" s="26">
        <f t="shared" si="8"/>
        <v>150</v>
      </c>
      <c r="C158" s="129" t="s">
        <v>288</v>
      </c>
      <c r="D158" s="125"/>
      <c r="E158" s="125">
        <f>TRUNC((14)/1+1.9)</f>
        <v>15</v>
      </c>
      <c r="F158" s="126">
        <v>6</v>
      </c>
      <c r="G158" s="127" t="s">
        <v>57</v>
      </c>
      <c r="H158" s="128">
        <v>32.33</v>
      </c>
      <c r="I158" s="55">
        <f t="shared" si="6"/>
        <v>728.39490000000001</v>
      </c>
      <c r="J158" s="59"/>
      <c r="K158" s="4"/>
      <c r="L158" s="4"/>
      <c r="M158" s="4"/>
      <c r="N158" s="4"/>
      <c r="O158" s="4"/>
      <c r="P158" s="4"/>
      <c r="Q158" s="4"/>
      <c r="AK158" s="44">
        <f t="shared" si="7"/>
        <v>1.502</v>
      </c>
    </row>
    <row r="159" spans="2:37" ht="12.75" customHeight="1">
      <c r="B159" s="26">
        <f t="shared" si="8"/>
        <v>151</v>
      </c>
      <c r="C159" s="129" t="s">
        <v>290</v>
      </c>
      <c r="D159" s="125"/>
      <c r="E159" s="125">
        <f>TRUNC((14)/1+1.9)</f>
        <v>15</v>
      </c>
      <c r="F159" s="126">
        <v>5</v>
      </c>
      <c r="G159" s="127" t="s">
        <v>65</v>
      </c>
      <c r="H159" s="128">
        <f>(17*0.25)-0.08+0.83</f>
        <v>5</v>
      </c>
      <c r="I159" s="55">
        <f t="shared" si="6"/>
        <v>78.224999999999994</v>
      </c>
      <c r="J159" s="59"/>
      <c r="L159" s="4"/>
      <c r="M159" s="4"/>
      <c r="N159" s="4"/>
      <c r="O159" s="4"/>
      <c r="P159" s="4"/>
      <c r="Q159" s="4"/>
      <c r="AK159" s="44">
        <f t="shared" si="7"/>
        <v>1.0429999999999999</v>
      </c>
    </row>
    <row r="160" spans="2:37" ht="12.75" customHeight="1">
      <c r="B160" s="26">
        <f t="shared" si="8"/>
        <v>152</v>
      </c>
      <c r="C160" s="130" t="s">
        <v>282</v>
      </c>
      <c r="D160" s="66"/>
      <c r="E160" s="66"/>
      <c r="F160" s="126"/>
      <c r="G160" s="127"/>
      <c r="H160" s="128"/>
      <c r="I160" s="55">
        <f t="shared" si="6"/>
        <v>0</v>
      </c>
      <c r="J160" s="59"/>
      <c r="K160" s="4"/>
      <c r="L160" s="4"/>
      <c r="M160" s="4"/>
      <c r="N160" s="4"/>
      <c r="O160" s="4"/>
      <c r="P160" s="4"/>
      <c r="Q160" s="4"/>
      <c r="AK160" s="44">
        <f t="shared" si="7"/>
        <v>0</v>
      </c>
    </row>
    <row r="161" spans="2:37" ht="12.75" customHeight="1">
      <c r="B161" s="26">
        <f t="shared" si="8"/>
        <v>153</v>
      </c>
      <c r="C161" s="129" t="s">
        <v>290</v>
      </c>
      <c r="D161" s="125"/>
      <c r="E161" s="125">
        <f>TRUNC((6)/1+1.9)</f>
        <v>7</v>
      </c>
      <c r="F161" s="126">
        <v>5</v>
      </c>
      <c r="G161" s="127" t="s">
        <v>57</v>
      </c>
      <c r="H161" s="128">
        <v>15.25</v>
      </c>
      <c r="I161" s="55">
        <f t="shared" si="6"/>
        <v>111.34025</v>
      </c>
      <c r="J161" s="59"/>
      <c r="K161" s="4"/>
      <c r="L161" s="4"/>
      <c r="M161" s="4"/>
      <c r="N161" s="4"/>
      <c r="O161" s="4"/>
      <c r="P161" s="4"/>
      <c r="Q161" s="4"/>
      <c r="AK161" s="44">
        <f t="shared" si="7"/>
        <v>1.0429999999999999</v>
      </c>
    </row>
    <row r="162" spans="2:37" ht="12.75" customHeight="1">
      <c r="B162" s="26">
        <f t="shared" si="8"/>
        <v>154</v>
      </c>
      <c r="C162" s="129" t="s">
        <v>292</v>
      </c>
      <c r="D162" s="125"/>
      <c r="E162" s="125">
        <f>TRUNC((6)/1+1.9)</f>
        <v>7</v>
      </c>
      <c r="F162" s="126">
        <v>8</v>
      </c>
      <c r="G162" s="127" t="s">
        <v>57</v>
      </c>
      <c r="H162" s="128">
        <v>38.25</v>
      </c>
      <c r="I162" s="55">
        <f t="shared" si="6"/>
        <v>714.89249999999993</v>
      </c>
      <c r="J162" s="59"/>
      <c r="K162" s="4"/>
      <c r="L162" s="4"/>
      <c r="M162" s="4"/>
      <c r="N162" s="4"/>
      <c r="O162" s="4"/>
      <c r="P162" s="4"/>
      <c r="Q162" s="4"/>
      <c r="AK162" s="44">
        <f t="shared" si="7"/>
        <v>2.67</v>
      </c>
    </row>
    <row r="163" spans="2:37" ht="12.75" customHeight="1">
      <c r="B163" s="26">
        <f t="shared" si="8"/>
        <v>155</v>
      </c>
      <c r="C163" s="129" t="s">
        <v>290</v>
      </c>
      <c r="D163" s="125"/>
      <c r="E163" s="125">
        <f>TRUNC((6)/1+1.9)</f>
        <v>7</v>
      </c>
      <c r="F163" s="126">
        <v>5</v>
      </c>
      <c r="G163" s="127" t="s">
        <v>65</v>
      </c>
      <c r="H163" s="128">
        <f>(17*0.25)-0.08+0.83</f>
        <v>5</v>
      </c>
      <c r="I163" s="55">
        <f t="shared" si="6"/>
        <v>36.504999999999995</v>
      </c>
      <c r="J163" s="59"/>
      <c r="L163" s="4"/>
      <c r="M163" s="4"/>
      <c r="N163" s="4"/>
      <c r="O163" s="4"/>
      <c r="P163" s="4"/>
      <c r="Q163" s="4"/>
      <c r="AK163" s="44">
        <f t="shared" si="7"/>
        <v>1.0429999999999999</v>
      </c>
    </row>
    <row r="164" spans="2:37" ht="12.75" customHeight="1">
      <c r="B164" s="26">
        <f t="shared" si="8"/>
        <v>156</v>
      </c>
      <c r="C164" s="131" t="s">
        <v>297</v>
      </c>
      <c r="D164" s="125"/>
      <c r="E164" s="125"/>
      <c r="F164" s="126"/>
      <c r="G164" s="127"/>
      <c r="H164" s="68"/>
      <c r="I164" s="55">
        <f t="shared" si="6"/>
        <v>0</v>
      </c>
      <c r="J164" s="59"/>
      <c r="K164" s="4"/>
      <c r="L164" s="4"/>
      <c r="M164" s="4"/>
      <c r="N164" s="4"/>
      <c r="O164" s="4"/>
      <c r="P164" s="4"/>
      <c r="Q164" s="4"/>
      <c r="AK164" s="44">
        <f t="shared" si="7"/>
        <v>0</v>
      </c>
    </row>
    <row r="165" spans="2:37" ht="12.75" customHeight="1">
      <c r="B165" s="26">
        <f t="shared" si="8"/>
        <v>157</v>
      </c>
      <c r="C165" s="130" t="s">
        <v>298</v>
      </c>
      <c r="D165" s="125"/>
      <c r="E165" s="125"/>
      <c r="F165" s="126"/>
      <c r="G165" s="127"/>
      <c r="H165" s="68"/>
      <c r="I165" s="55">
        <f t="shared" si="6"/>
        <v>0</v>
      </c>
      <c r="J165" s="59"/>
      <c r="K165" s="4"/>
      <c r="L165" s="4"/>
      <c r="M165" s="4"/>
      <c r="N165" s="4"/>
      <c r="O165" s="4"/>
      <c r="P165" s="4"/>
      <c r="Q165" s="4"/>
      <c r="AK165" s="44">
        <f t="shared" si="7"/>
        <v>0</v>
      </c>
    </row>
    <row r="166" spans="2:37" ht="12.75" customHeight="1">
      <c r="B166" s="26">
        <f t="shared" si="8"/>
        <v>158</v>
      </c>
      <c r="C166" s="129" t="s">
        <v>278</v>
      </c>
      <c r="D166" s="125"/>
      <c r="E166" s="125">
        <f>TRUNC((5.75-0.08*2)/1+1.9)</f>
        <v>7</v>
      </c>
      <c r="F166" s="126">
        <v>5</v>
      </c>
      <c r="G166" s="127" t="s">
        <v>57</v>
      </c>
      <c r="H166" s="68">
        <f>5.25-0.17+1</f>
        <v>6.08</v>
      </c>
      <c r="I166" s="55">
        <f t="shared" si="6"/>
        <v>44.390079999999998</v>
      </c>
      <c r="J166" s="59"/>
      <c r="L166" s="4"/>
      <c r="M166" s="4"/>
      <c r="N166" s="4"/>
      <c r="O166" s="4"/>
      <c r="P166" s="4"/>
      <c r="Q166" s="4"/>
      <c r="AK166" s="44">
        <f t="shared" si="7"/>
        <v>1.0429999999999999</v>
      </c>
    </row>
    <row r="167" spans="2:37" ht="12.75" customHeight="1">
      <c r="B167" s="26">
        <f t="shared" si="8"/>
        <v>159</v>
      </c>
      <c r="C167" s="129" t="s">
        <v>299</v>
      </c>
      <c r="D167" s="125"/>
      <c r="E167" s="125">
        <f>TRUNC((5.75-0.08*2)/1+1.9)</f>
        <v>7</v>
      </c>
      <c r="F167" s="126">
        <v>9</v>
      </c>
      <c r="G167" s="127" t="s">
        <v>57</v>
      </c>
      <c r="H167" s="128">
        <v>31.25</v>
      </c>
      <c r="I167" s="55">
        <f t="shared" si="6"/>
        <v>743.75</v>
      </c>
      <c r="J167" s="59"/>
      <c r="K167" s="4"/>
      <c r="L167" s="4"/>
      <c r="M167" s="4"/>
      <c r="N167" s="4"/>
      <c r="O167" s="4"/>
      <c r="P167" s="4"/>
      <c r="Q167" s="4"/>
      <c r="AK167" s="44">
        <f t="shared" si="7"/>
        <v>3.4</v>
      </c>
    </row>
    <row r="168" spans="2:37" ht="12.75" customHeight="1">
      <c r="B168" s="26">
        <f t="shared" si="8"/>
        <v>160</v>
      </c>
      <c r="C168" s="129" t="s">
        <v>281</v>
      </c>
      <c r="D168" s="125"/>
      <c r="E168" s="125">
        <f>TRUNC((5.75-0.08*2)/1+1.9)</f>
        <v>7</v>
      </c>
      <c r="F168" s="126">
        <v>6</v>
      </c>
      <c r="G168" s="127" t="s">
        <v>57</v>
      </c>
      <c r="H168" s="128">
        <v>17.75</v>
      </c>
      <c r="I168" s="55">
        <f t="shared" si="6"/>
        <v>186.62349999999998</v>
      </c>
      <c r="J168" s="59"/>
      <c r="K168" s="4"/>
      <c r="L168" s="4"/>
      <c r="M168" s="4"/>
      <c r="N168" s="4"/>
      <c r="O168" s="4"/>
      <c r="P168" s="4"/>
      <c r="Q168" s="4"/>
      <c r="AK168" s="44">
        <f t="shared" si="7"/>
        <v>1.502</v>
      </c>
    </row>
    <row r="169" spans="2:37" ht="12.75" customHeight="1">
      <c r="B169" s="26">
        <f t="shared" si="8"/>
        <v>161</v>
      </c>
      <c r="C169" s="129" t="s">
        <v>279</v>
      </c>
      <c r="D169" s="125"/>
      <c r="E169" s="125">
        <f>TRUNC((5.75-0.08*2)/1+1.9)</f>
        <v>7</v>
      </c>
      <c r="F169" s="126">
        <v>8</v>
      </c>
      <c r="G169" s="127" t="s">
        <v>57</v>
      </c>
      <c r="H169" s="128">
        <v>24</v>
      </c>
      <c r="I169" s="55">
        <f t="shared" si="6"/>
        <v>448.56</v>
      </c>
      <c r="J169" s="59"/>
      <c r="K169" s="4"/>
      <c r="L169" s="4"/>
      <c r="M169" s="4"/>
      <c r="N169" s="4"/>
      <c r="O169" s="4"/>
      <c r="P169" s="4"/>
      <c r="Q169" s="4"/>
      <c r="AK169" s="44">
        <f t="shared" si="7"/>
        <v>2.67</v>
      </c>
    </row>
    <row r="170" spans="2:37" ht="12.75" customHeight="1">
      <c r="B170" s="26">
        <f t="shared" si="8"/>
        <v>162</v>
      </c>
      <c r="C170" s="129" t="s">
        <v>299</v>
      </c>
      <c r="D170" s="125"/>
      <c r="E170" s="125">
        <f>TRUNC((5.75-0.08*2)/1+1.9)</f>
        <v>7</v>
      </c>
      <c r="F170" s="126">
        <v>9</v>
      </c>
      <c r="G170" s="127" t="s">
        <v>57</v>
      </c>
      <c r="H170" s="68">
        <f>24.92</f>
        <v>24.92</v>
      </c>
      <c r="I170" s="55">
        <f t="shared" si="6"/>
        <v>593.096</v>
      </c>
      <c r="J170" s="59"/>
      <c r="K170" s="4"/>
      <c r="L170" s="4"/>
      <c r="M170" s="4"/>
      <c r="N170" s="4"/>
      <c r="O170" s="4"/>
      <c r="P170" s="4"/>
      <c r="Q170" s="4"/>
      <c r="AK170" s="44">
        <f t="shared" si="7"/>
        <v>3.4</v>
      </c>
    </row>
    <row r="171" spans="2:37" ht="12.75" customHeight="1">
      <c r="B171" s="26">
        <f t="shared" si="8"/>
        <v>163</v>
      </c>
      <c r="C171" s="130" t="s">
        <v>300</v>
      </c>
      <c r="D171" s="125"/>
      <c r="E171" s="125"/>
      <c r="F171" s="126"/>
      <c r="G171" s="127"/>
      <c r="H171" s="128"/>
      <c r="I171" s="55">
        <f t="shared" si="6"/>
        <v>0</v>
      </c>
      <c r="J171" s="59"/>
      <c r="K171" s="4"/>
      <c r="L171" s="4"/>
      <c r="M171" s="4"/>
      <c r="N171" s="4"/>
      <c r="O171" s="4"/>
      <c r="P171" s="4"/>
      <c r="Q171" s="4"/>
      <c r="AK171" s="44">
        <f t="shared" si="7"/>
        <v>0</v>
      </c>
    </row>
    <row r="172" spans="2:37" ht="12.75" customHeight="1">
      <c r="B172" s="26">
        <f t="shared" si="8"/>
        <v>164</v>
      </c>
      <c r="C172" s="129" t="s">
        <v>278</v>
      </c>
      <c r="D172" s="125"/>
      <c r="E172" s="125">
        <f>TRUNC((10-0.5*2)/1+1.9)</f>
        <v>10</v>
      </c>
      <c r="F172" s="126">
        <v>5</v>
      </c>
      <c r="G172" s="127" t="s">
        <v>57</v>
      </c>
      <c r="H172" s="68">
        <f>5.83</f>
        <v>5.83</v>
      </c>
      <c r="I172" s="55">
        <f t="shared" si="6"/>
        <v>60.806899999999999</v>
      </c>
      <c r="J172" s="59"/>
      <c r="K172" s="4"/>
      <c r="L172" s="4"/>
      <c r="M172" s="4"/>
      <c r="N172" s="4"/>
      <c r="O172" s="4"/>
      <c r="P172" s="4"/>
      <c r="Q172" s="4"/>
      <c r="AK172" s="44">
        <f t="shared" si="7"/>
        <v>1.0429999999999999</v>
      </c>
    </row>
    <row r="173" spans="2:37" ht="12.75" customHeight="1">
      <c r="B173" s="26">
        <f t="shared" si="8"/>
        <v>165</v>
      </c>
      <c r="C173" s="129" t="s">
        <v>277</v>
      </c>
      <c r="D173" s="125"/>
      <c r="E173" s="125">
        <f>TRUNC((10-0.5*2)/1+1.9)</f>
        <v>10</v>
      </c>
      <c r="F173" s="126">
        <v>7</v>
      </c>
      <c r="G173" s="127" t="s">
        <v>57</v>
      </c>
      <c r="H173" s="128">
        <v>30.25</v>
      </c>
      <c r="I173" s="55">
        <f t="shared" si="6"/>
        <v>618.31000000000006</v>
      </c>
      <c r="J173" s="59"/>
      <c r="K173" s="4"/>
      <c r="L173" s="4"/>
      <c r="M173" s="4"/>
      <c r="N173" s="4"/>
      <c r="O173" s="4"/>
      <c r="P173" s="4"/>
      <c r="Q173" s="4"/>
      <c r="AK173" s="44">
        <f t="shared" si="7"/>
        <v>2.044</v>
      </c>
    </row>
    <row r="174" spans="2:37" ht="12.75" customHeight="1">
      <c r="B174" s="26">
        <f t="shared" si="8"/>
        <v>166</v>
      </c>
      <c r="C174" s="129" t="s">
        <v>278</v>
      </c>
      <c r="D174" s="125"/>
      <c r="E174" s="125">
        <f>TRUNC((10-0.5*2)/1+1.9)</f>
        <v>10</v>
      </c>
      <c r="F174" s="126">
        <v>5</v>
      </c>
      <c r="G174" s="127" t="s">
        <v>57</v>
      </c>
      <c r="H174" s="68">
        <f>9</f>
        <v>9</v>
      </c>
      <c r="I174" s="55">
        <f t="shared" si="6"/>
        <v>93.86999999999999</v>
      </c>
      <c r="J174" s="59"/>
      <c r="K174" s="4"/>
      <c r="M174" s="4"/>
      <c r="N174" s="4"/>
      <c r="O174" s="4"/>
      <c r="P174" s="4"/>
      <c r="Q174" s="4"/>
      <c r="AK174" s="44">
        <f t="shared" si="7"/>
        <v>1.0429999999999999</v>
      </c>
    </row>
    <row r="175" spans="2:37" ht="12.75" customHeight="1">
      <c r="B175" s="26">
        <f t="shared" si="8"/>
        <v>167</v>
      </c>
      <c r="C175" s="130" t="s">
        <v>301</v>
      </c>
      <c r="D175" s="125"/>
      <c r="E175" s="125"/>
      <c r="F175" s="126"/>
      <c r="G175" s="127"/>
      <c r="H175" s="68"/>
      <c r="I175" s="55">
        <f t="shared" si="6"/>
        <v>0</v>
      </c>
      <c r="J175" s="59"/>
      <c r="K175" s="4"/>
      <c r="L175" s="4"/>
      <c r="M175" s="4"/>
      <c r="N175" s="4"/>
      <c r="O175" s="4"/>
      <c r="P175" s="4"/>
      <c r="Q175" s="4"/>
      <c r="AK175" s="44">
        <f t="shared" si="7"/>
        <v>0</v>
      </c>
    </row>
    <row r="176" spans="2:37" ht="12.75" customHeight="1">
      <c r="B176" s="26">
        <f t="shared" si="8"/>
        <v>168</v>
      </c>
      <c r="C176" s="129" t="s">
        <v>278</v>
      </c>
      <c r="D176" s="125"/>
      <c r="E176" s="125">
        <f>TRUNC((7.25-0.5*2)/1+1.9)</f>
        <v>8</v>
      </c>
      <c r="F176" s="126">
        <v>5</v>
      </c>
      <c r="G176" s="127" t="s">
        <v>57</v>
      </c>
      <c r="H176" s="68">
        <f>6.25</f>
        <v>6.25</v>
      </c>
      <c r="I176" s="55">
        <f t="shared" si="6"/>
        <v>52.15</v>
      </c>
      <c r="J176" s="59"/>
      <c r="K176" s="4"/>
      <c r="L176" s="4"/>
      <c r="M176" s="4"/>
      <c r="N176" s="4"/>
      <c r="O176" s="4"/>
      <c r="P176" s="4"/>
      <c r="Q176" s="4"/>
      <c r="AK176" s="44">
        <f t="shared" si="7"/>
        <v>1.0429999999999999</v>
      </c>
    </row>
    <row r="177" spans="2:37" ht="12.75" customHeight="1">
      <c r="B177" s="26">
        <f t="shared" si="8"/>
        <v>169</v>
      </c>
      <c r="C177" s="129" t="s">
        <v>279</v>
      </c>
      <c r="D177" s="125"/>
      <c r="E177" s="125">
        <f>TRUNC((7.25-0.5*2)/1+1.9)</f>
        <v>8</v>
      </c>
      <c r="F177" s="126">
        <v>8</v>
      </c>
      <c r="G177" s="127" t="s">
        <v>57</v>
      </c>
      <c r="H177" s="128">
        <v>32</v>
      </c>
      <c r="I177" s="55">
        <f t="shared" si="6"/>
        <v>683.52</v>
      </c>
      <c r="J177" s="59"/>
      <c r="L177" s="4"/>
      <c r="M177" s="4"/>
      <c r="N177" s="4"/>
      <c r="O177" s="4"/>
      <c r="P177" s="4"/>
      <c r="Q177" s="4"/>
      <c r="AK177" s="44">
        <f t="shared" si="7"/>
        <v>2.67</v>
      </c>
    </row>
    <row r="178" spans="2:37" ht="12.75" customHeight="1">
      <c r="B178" s="26">
        <f t="shared" si="8"/>
        <v>170</v>
      </c>
      <c r="C178" s="129" t="s">
        <v>278</v>
      </c>
      <c r="D178" s="125"/>
      <c r="E178" s="125">
        <f>TRUNC((5-0.5*2)/1+1.9)</f>
        <v>5</v>
      </c>
      <c r="F178" s="126">
        <v>5</v>
      </c>
      <c r="G178" s="127" t="s">
        <v>57</v>
      </c>
      <c r="H178" s="128">
        <v>18.670000000000002</v>
      </c>
      <c r="I178" s="55">
        <f t="shared" si="6"/>
        <v>97.364049999999992</v>
      </c>
      <c r="J178" s="59"/>
      <c r="K178" s="4"/>
      <c r="L178" s="4"/>
      <c r="M178" s="4"/>
      <c r="N178" s="4"/>
      <c r="O178" s="4"/>
      <c r="P178" s="4"/>
      <c r="Q178" s="4"/>
      <c r="AK178" s="44">
        <f t="shared" si="7"/>
        <v>1.0429999999999999</v>
      </c>
    </row>
    <row r="179" spans="2:37" ht="12.75" customHeight="1">
      <c r="B179" s="26">
        <f t="shared" si="8"/>
        <v>171</v>
      </c>
      <c r="C179" s="129" t="s">
        <v>277</v>
      </c>
      <c r="D179" s="125"/>
      <c r="E179" s="125">
        <f>TRUNC((5-0.5*2)/1+1.9)</f>
        <v>5</v>
      </c>
      <c r="F179" s="126">
        <v>7</v>
      </c>
      <c r="G179" s="127" t="s">
        <v>57</v>
      </c>
      <c r="H179" s="128">
        <v>31.58</v>
      </c>
      <c r="I179" s="55">
        <f t="shared" si="6"/>
        <v>322.74760000000003</v>
      </c>
      <c r="J179" s="59"/>
      <c r="K179" s="4"/>
      <c r="L179" s="4"/>
      <c r="M179" s="4"/>
      <c r="N179" s="4"/>
      <c r="O179" s="4"/>
      <c r="P179" s="4"/>
      <c r="Q179" s="4"/>
      <c r="AK179" s="44">
        <f t="shared" si="7"/>
        <v>2.044</v>
      </c>
    </row>
    <row r="180" spans="2:37" ht="12.75" customHeight="1">
      <c r="B180" s="26">
        <f t="shared" si="8"/>
        <v>172</v>
      </c>
      <c r="C180" s="129" t="s">
        <v>278</v>
      </c>
      <c r="D180" s="125"/>
      <c r="E180" s="125">
        <f>TRUNC((5-0.5*2)/1+1.9)</f>
        <v>5</v>
      </c>
      <c r="F180" s="126">
        <v>5</v>
      </c>
      <c r="G180" s="127" t="s">
        <v>57</v>
      </c>
      <c r="H180" s="68">
        <v>17.75</v>
      </c>
      <c r="I180" s="55">
        <f t="shared" si="6"/>
        <v>92.566249999999997</v>
      </c>
      <c r="J180" s="59"/>
      <c r="K180" s="4"/>
      <c r="L180" s="4"/>
      <c r="M180" s="4"/>
      <c r="N180" s="4"/>
      <c r="O180" s="4"/>
      <c r="P180" s="4"/>
      <c r="Q180" s="4"/>
      <c r="AK180" s="44">
        <f t="shared" si="7"/>
        <v>1.0429999999999999</v>
      </c>
    </row>
    <row r="181" spans="2:37" ht="12.75" customHeight="1">
      <c r="B181" s="26">
        <f t="shared" si="8"/>
        <v>173</v>
      </c>
      <c r="C181" s="129" t="s">
        <v>281</v>
      </c>
      <c r="D181" s="125"/>
      <c r="E181" s="125">
        <f t="shared" ref="E181" si="9">TRUNC((5-0.5*2)/1+1.9)</f>
        <v>5</v>
      </c>
      <c r="F181" s="126">
        <v>6</v>
      </c>
      <c r="G181" s="127" t="s">
        <v>57</v>
      </c>
      <c r="H181" s="128">
        <v>24</v>
      </c>
      <c r="I181" s="55">
        <f t="shared" si="6"/>
        <v>180.24</v>
      </c>
      <c r="J181" s="59"/>
      <c r="K181" s="4"/>
      <c r="L181" s="4"/>
      <c r="M181" s="4"/>
      <c r="N181" s="4"/>
      <c r="O181" s="4"/>
      <c r="P181" s="4"/>
      <c r="Q181" s="4"/>
      <c r="AK181" s="44">
        <f t="shared" si="7"/>
        <v>1.502</v>
      </c>
    </row>
    <row r="182" spans="2:37" ht="12.75" customHeight="1">
      <c r="B182" s="26">
        <f t="shared" si="8"/>
        <v>174</v>
      </c>
      <c r="C182" s="129" t="s">
        <v>276</v>
      </c>
      <c r="D182" s="125"/>
      <c r="E182" s="125">
        <f>TRUNC((5-0.42*2)/0.83+1.9)</f>
        <v>6</v>
      </c>
      <c r="F182" s="126">
        <v>5</v>
      </c>
      <c r="G182" s="127" t="s">
        <v>57</v>
      </c>
      <c r="H182" s="68">
        <v>24.58</v>
      </c>
      <c r="I182" s="55">
        <f t="shared" si="6"/>
        <v>153.82163999999997</v>
      </c>
      <c r="J182" s="59"/>
      <c r="L182" s="4"/>
      <c r="M182" s="4"/>
      <c r="N182" s="4"/>
      <c r="O182" s="4"/>
      <c r="P182" s="4"/>
      <c r="Q182" s="4"/>
      <c r="AK182" s="44">
        <f t="shared" si="7"/>
        <v>1.0429999999999999</v>
      </c>
    </row>
    <row r="183" spans="2:37" ht="12.75" customHeight="1">
      <c r="B183" s="26">
        <f t="shared" si="8"/>
        <v>175</v>
      </c>
      <c r="C183" s="130" t="s">
        <v>302</v>
      </c>
      <c r="D183" s="125"/>
      <c r="E183" s="125"/>
      <c r="F183" s="126"/>
      <c r="G183" s="127"/>
      <c r="H183" s="128"/>
      <c r="I183" s="55">
        <f t="shared" si="6"/>
        <v>0</v>
      </c>
      <c r="J183" s="59"/>
      <c r="K183" s="4"/>
      <c r="L183" s="4"/>
      <c r="M183" s="4"/>
      <c r="N183" s="4"/>
      <c r="O183" s="4"/>
      <c r="P183" s="4"/>
      <c r="Q183" s="4"/>
      <c r="AK183" s="44">
        <f t="shared" si="7"/>
        <v>0</v>
      </c>
    </row>
    <row r="184" spans="2:37" ht="12.75" customHeight="1">
      <c r="B184" s="26">
        <f t="shared" si="8"/>
        <v>176</v>
      </c>
      <c r="C184" s="129" t="s">
        <v>278</v>
      </c>
      <c r="D184" s="125"/>
      <c r="E184" s="125">
        <f>TRUNC((14.25-0.5*2)/1+1.9)</f>
        <v>15</v>
      </c>
      <c r="F184" s="126">
        <v>5</v>
      </c>
      <c r="G184" s="127" t="s">
        <v>57</v>
      </c>
      <c r="H184" s="68">
        <f>17.83</f>
        <v>17.829999999999998</v>
      </c>
      <c r="I184" s="55">
        <f t="shared" si="6"/>
        <v>278.95034999999996</v>
      </c>
      <c r="J184" s="59"/>
      <c r="K184" s="4"/>
      <c r="L184" s="4"/>
      <c r="M184" s="4"/>
      <c r="N184" s="4"/>
      <c r="O184" s="4"/>
      <c r="P184" s="4"/>
      <c r="Q184" s="4"/>
      <c r="AK184" s="44">
        <f t="shared" si="7"/>
        <v>1.0429999999999999</v>
      </c>
    </row>
    <row r="185" spans="2:37" ht="12.75" customHeight="1">
      <c r="B185" s="26">
        <f t="shared" si="8"/>
        <v>177</v>
      </c>
      <c r="C185" s="129" t="s">
        <v>281</v>
      </c>
      <c r="D185" s="125"/>
      <c r="E185" s="125">
        <f>TRUNC((14.58-0.5*2)/1+1.9)</f>
        <v>15</v>
      </c>
      <c r="F185" s="126">
        <v>6</v>
      </c>
      <c r="G185" s="127" t="s">
        <v>57</v>
      </c>
      <c r="H185" s="128">
        <v>30.25</v>
      </c>
      <c r="I185" s="55">
        <f t="shared" si="6"/>
        <v>681.53249999999991</v>
      </c>
      <c r="J185" s="59"/>
      <c r="K185" s="4"/>
      <c r="L185" s="4"/>
      <c r="M185" s="4"/>
      <c r="N185" s="4"/>
      <c r="O185" s="4"/>
      <c r="P185" s="4"/>
      <c r="Q185" s="4"/>
      <c r="AK185" s="44">
        <f t="shared" si="7"/>
        <v>1.502</v>
      </c>
    </row>
    <row r="186" spans="2:37" ht="12.75" customHeight="1">
      <c r="B186" s="26">
        <f t="shared" si="8"/>
        <v>178</v>
      </c>
      <c r="C186" s="129" t="s">
        <v>278</v>
      </c>
      <c r="D186" s="125"/>
      <c r="E186" s="125">
        <f>TRUNC((14.75-0.5*2)/1+1.9)</f>
        <v>15</v>
      </c>
      <c r="F186" s="126">
        <v>5</v>
      </c>
      <c r="G186" s="127" t="s">
        <v>57</v>
      </c>
      <c r="H186" s="68">
        <v>18.329999999999998</v>
      </c>
      <c r="I186" s="55">
        <f t="shared" si="6"/>
        <v>286.77284999999995</v>
      </c>
      <c r="J186" s="59"/>
      <c r="K186" s="4"/>
      <c r="L186" s="4"/>
      <c r="M186" s="4"/>
      <c r="N186" s="4"/>
      <c r="O186" s="4"/>
      <c r="P186" s="4"/>
      <c r="Q186" s="4"/>
      <c r="AK186" s="44">
        <f t="shared" si="7"/>
        <v>1.0429999999999999</v>
      </c>
    </row>
    <row r="187" spans="2:37" ht="12.75" customHeight="1">
      <c r="B187" s="26">
        <f t="shared" si="8"/>
        <v>179</v>
      </c>
      <c r="C187" s="129" t="s">
        <v>281</v>
      </c>
      <c r="D187" s="125"/>
      <c r="E187" s="125">
        <f>TRUNC((14.75-0.5*2)/1+1.9)</f>
        <v>15</v>
      </c>
      <c r="F187" s="126">
        <v>6</v>
      </c>
      <c r="G187" s="127" t="s">
        <v>57</v>
      </c>
      <c r="H187" s="68">
        <v>20.58</v>
      </c>
      <c r="I187" s="55">
        <f t="shared" si="6"/>
        <v>463.66739999999999</v>
      </c>
      <c r="J187" s="59"/>
      <c r="K187" s="4"/>
      <c r="L187" s="4"/>
      <c r="M187" s="4"/>
      <c r="N187" s="4"/>
      <c r="O187" s="4"/>
      <c r="P187" s="4"/>
      <c r="Q187" s="4"/>
      <c r="AK187" s="44">
        <f t="shared" si="7"/>
        <v>1.502</v>
      </c>
    </row>
    <row r="188" spans="2:37" ht="12.75" customHeight="1">
      <c r="B188" s="26">
        <f t="shared" si="8"/>
        <v>180</v>
      </c>
      <c r="C188" s="129" t="s">
        <v>281</v>
      </c>
      <c r="D188" s="125"/>
      <c r="E188" s="125">
        <f>TRUNC((15.75-0.5*2)/1+1.9)</f>
        <v>16</v>
      </c>
      <c r="F188" s="126">
        <v>6</v>
      </c>
      <c r="G188" s="127" t="s">
        <v>57</v>
      </c>
      <c r="H188" s="68">
        <v>23.58</v>
      </c>
      <c r="I188" s="55">
        <f t="shared" si="6"/>
        <v>566.67455999999993</v>
      </c>
      <c r="J188" s="59"/>
      <c r="K188" s="4"/>
      <c r="L188" s="4"/>
      <c r="M188" s="4"/>
      <c r="N188" s="4"/>
      <c r="O188" s="4"/>
      <c r="P188" s="4"/>
      <c r="Q188" s="4"/>
      <c r="AK188" s="44">
        <f t="shared" si="7"/>
        <v>1.502</v>
      </c>
    </row>
    <row r="189" spans="2:37" ht="12.75" customHeight="1">
      <c r="B189" s="26">
        <f t="shared" si="8"/>
        <v>181</v>
      </c>
      <c r="C189" s="130" t="s">
        <v>303</v>
      </c>
      <c r="D189" s="125"/>
      <c r="E189" s="125"/>
      <c r="F189" s="126"/>
      <c r="G189" s="127"/>
      <c r="H189" s="68"/>
      <c r="I189" s="55">
        <f t="shared" si="6"/>
        <v>0</v>
      </c>
      <c r="J189" s="59"/>
      <c r="K189" s="4"/>
      <c r="L189" s="4"/>
      <c r="M189" s="4"/>
      <c r="N189" s="4"/>
      <c r="O189" s="4"/>
      <c r="P189" s="4"/>
      <c r="Q189" s="4"/>
      <c r="AK189" s="44">
        <f t="shared" si="7"/>
        <v>0</v>
      </c>
    </row>
    <row r="190" spans="2:37" ht="12.75" customHeight="1">
      <c r="B190" s="26">
        <f t="shared" si="8"/>
        <v>182</v>
      </c>
      <c r="C190" s="129" t="s">
        <v>304</v>
      </c>
      <c r="D190" s="125"/>
      <c r="E190" s="125">
        <f>TRUNC((7.25-0.5*2)/1+1.9)</f>
        <v>8</v>
      </c>
      <c r="F190" s="126">
        <v>6</v>
      </c>
      <c r="G190" s="127" t="s">
        <v>57</v>
      </c>
      <c r="H190" s="68">
        <v>18.670000000000002</v>
      </c>
      <c r="I190" s="55">
        <f t="shared" si="6"/>
        <v>224.33872000000002</v>
      </c>
      <c r="J190" s="59"/>
      <c r="K190" s="4"/>
      <c r="M190" s="4"/>
      <c r="N190" s="4"/>
      <c r="O190" s="4"/>
      <c r="P190" s="4"/>
      <c r="Q190" s="4"/>
      <c r="AK190" s="44">
        <f t="shared" si="7"/>
        <v>1.502</v>
      </c>
    </row>
    <row r="191" spans="2:37" ht="12.75" customHeight="1">
      <c r="B191" s="26">
        <f t="shared" si="8"/>
        <v>183</v>
      </c>
      <c r="C191" s="129" t="s">
        <v>277</v>
      </c>
      <c r="D191" s="125"/>
      <c r="E191" s="125">
        <f>TRUNC((7.25-0.5*2)/1+1.9)</f>
        <v>8</v>
      </c>
      <c r="F191" s="126">
        <v>7</v>
      </c>
      <c r="G191" s="127" t="s">
        <v>57</v>
      </c>
      <c r="H191" s="128">
        <f>29.33+2.33</f>
        <v>31.659999999999997</v>
      </c>
      <c r="I191" s="55">
        <f t="shared" si="6"/>
        <v>517.70431999999994</v>
      </c>
      <c r="J191" s="59"/>
      <c r="K191" s="4"/>
      <c r="L191" s="4"/>
      <c r="M191" s="4"/>
      <c r="N191" s="4"/>
      <c r="O191" s="4"/>
      <c r="P191" s="4"/>
      <c r="Q191" s="4"/>
      <c r="AK191" s="44">
        <f t="shared" si="7"/>
        <v>2.044</v>
      </c>
    </row>
    <row r="192" spans="2:37" ht="12.75" customHeight="1">
      <c r="B192" s="26">
        <f t="shared" si="8"/>
        <v>184</v>
      </c>
      <c r="C192" s="129" t="s">
        <v>276</v>
      </c>
      <c r="D192" s="125"/>
      <c r="E192" s="125">
        <f>TRUNC((7.25-0.42*2)/0.83+1.9)</f>
        <v>9</v>
      </c>
      <c r="F192" s="126">
        <v>5</v>
      </c>
      <c r="G192" s="127" t="s">
        <v>57</v>
      </c>
      <c r="H192" s="128">
        <f>17.67+2</f>
        <v>19.670000000000002</v>
      </c>
      <c r="I192" s="55">
        <f t="shared" si="6"/>
        <v>184.64229</v>
      </c>
      <c r="J192" s="59"/>
      <c r="K192" s="4"/>
      <c r="L192" s="4"/>
      <c r="M192" s="4"/>
      <c r="N192" s="4"/>
      <c r="O192" s="4"/>
      <c r="P192" s="4"/>
      <c r="Q192" s="4"/>
      <c r="AK192" s="44">
        <f t="shared" si="7"/>
        <v>1.0429999999999999</v>
      </c>
    </row>
    <row r="193" spans="2:37" ht="12.75" customHeight="1">
      <c r="B193" s="26">
        <f t="shared" si="8"/>
        <v>185</v>
      </c>
      <c r="C193" s="129" t="s">
        <v>281</v>
      </c>
      <c r="D193" s="125"/>
      <c r="E193" s="125">
        <f>TRUNC((7.25-0.5*2)/1+1.9)</f>
        <v>8</v>
      </c>
      <c r="F193" s="126">
        <v>6</v>
      </c>
      <c r="G193" s="127" t="s">
        <v>57</v>
      </c>
      <c r="H193" s="128">
        <f>19.58+2</f>
        <v>21.58</v>
      </c>
      <c r="I193" s="55">
        <f t="shared" si="6"/>
        <v>259.30527999999998</v>
      </c>
      <c r="J193" s="59"/>
      <c r="L193" s="4"/>
      <c r="M193" s="4"/>
      <c r="N193" s="4"/>
      <c r="O193" s="4"/>
      <c r="P193" s="4"/>
      <c r="Q193" s="4"/>
      <c r="AK193" s="44">
        <f t="shared" si="7"/>
        <v>1.502</v>
      </c>
    </row>
    <row r="194" spans="2:37" ht="12.75" customHeight="1">
      <c r="B194" s="26">
        <f t="shared" si="8"/>
        <v>186</v>
      </c>
      <c r="C194" s="129" t="s">
        <v>277</v>
      </c>
      <c r="D194" s="125"/>
      <c r="E194" s="125">
        <f>TRUNC((7.58-0.5*2)/1+1.9)</f>
        <v>8</v>
      </c>
      <c r="F194" s="126">
        <v>7</v>
      </c>
      <c r="G194" s="127" t="s">
        <v>57</v>
      </c>
      <c r="H194" s="68">
        <f>23.17+1.17</f>
        <v>24.340000000000003</v>
      </c>
      <c r="I194" s="55">
        <f t="shared" si="6"/>
        <v>398.00768000000005</v>
      </c>
      <c r="J194" s="59"/>
      <c r="K194" s="4"/>
      <c r="L194" s="4"/>
      <c r="M194" s="4"/>
      <c r="N194" s="4"/>
      <c r="O194" s="4"/>
      <c r="P194" s="4"/>
      <c r="Q194" s="4"/>
      <c r="AK194" s="44">
        <f t="shared" si="7"/>
        <v>2.044</v>
      </c>
    </row>
    <row r="195" spans="2:37" ht="12.75" customHeight="1">
      <c r="B195" s="26">
        <f t="shared" si="8"/>
        <v>187</v>
      </c>
      <c r="C195" s="129" t="s">
        <v>305</v>
      </c>
      <c r="D195" s="125"/>
      <c r="E195" s="125">
        <f>TRUNC((7-0.5*2)/1+1.9)</f>
        <v>7</v>
      </c>
      <c r="F195" s="126">
        <v>6</v>
      </c>
      <c r="G195" s="127" t="s">
        <v>57</v>
      </c>
      <c r="H195" s="68">
        <v>18.75</v>
      </c>
      <c r="I195" s="55">
        <f t="shared" si="6"/>
        <v>197.13750000000002</v>
      </c>
      <c r="J195" s="59"/>
      <c r="K195" s="4"/>
      <c r="L195" s="4"/>
      <c r="M195" s="4"/>
      <c r="N195" s="4"/>
      <c r="O195" s="4"/>
      <c r="P195" s="4"/>
      <c r="Q195" s="4"/>
      <c r="AK195" s="44">
        <f t="shared" si="7"/>
        <v>1.502</v>
      </c>
    </row>
    <row r="196" spans="2:37" ht="12.75" customHeight="1">
      <c r="B196" s="26">
        <f t="shared" si="8"/>
        <v>188</v>
      </c>
      <c r="C196" s="129" t="s">
        <v>284</v>
      </c>
      <c r="D196" s="125"/>
      <c r="E196" s="125">
        <f>TRUNC((7-0.42*2)/0.83+1.9)</f>
        <v>9</v>
      </c>
      <c r="F196" s="126">
        <v>7</v>
      </c>
      <c r="G196" s="127" t="s">
        <v>57</v>
      </c>
      <c r="H196" s="128">
        <f>29.42+2.33</f>
        <v>31.75</v>
      </c>
      <c r="I196" s="55">
        <f t="shared" si="6"/>
        <v>584.07300000000009</v>
      </c>
      <c r="J196" s="59"/>
      <c r="L196" s="4"/>
      <c r="M196" s="4"/>
      <c r="N196" s="4"/>
      <c r="O196" s="4"/>
      <c r="P196" s="4"/>
      <c r="Q196" s="4"/>
      <c r="AK196" s="44">
        <f t="shared" si="7"/>
        <v>2.044</v>
      </c>
    </row>
    <row r="197" spans="2:37" ht="12.75" customHeight="1">
      <c r="B197" s="26">
        <f t="shared" si="8"/>
        <v>189</v>
      </c>
      <c r="C197" s="129" t="s">
        <v>281</v>
      </c>
      <c r="D197" s="125"/>
      <c r="E197" s="125">
        <f>TRUNC((6.17-0.5*2)/1+1.9)</f>
        <v>7</v>
      </c>
      <c r="F197" s="126">
        <v>6</v>
      </c>
      <c r="G197" s="127" t="s">
        <v>57</v>
      </c>
      <c r="H197" s="128">
        <f>17.75+1</f>
        <v>18.75</v>
      </c>
      <c r="I197" s="55">
        <f t="shared" si="6"/>
        <v>197.13750000000002</v>
      </c>
      <c r="J197" s="59"/>
      <c r="K197" s="4"/>
      <c r="L197" s="4"/>
      <c r="M197" s="4"/>
      <c r="N197" s="4"/>
      <c r="O197" s="4"/>
      <c r="P197" s="4"/>
      <c r="Q197" s="4"/>
      <c r="AK197" s="44">
        <f t="shared" si="7"/>
        <v>1.502</v>
      </c>
    </row>
    <row r="198" spans="2:37" ht="12.75" customHeight="1">
      <c r="B198" s="26">
        <f t="shared" si="8"/>
        <v>190</v>
      </c>
      <c r="C198" s="130" t="s">
        <v>306</v>
      </c>
      <c r="D198" s="125"/>
      <c r="E198" s="125"/>
      <c r="F198" s="126"/>
      <c r="G198" s="127"/>
      <c r="H198" s="128"/>
      <c r="I198" s="55">
        <f t="shared" si="6"/>
        <v>0</v>
      </c>
      <c r="J198" s="59"/>
      <c r="K198" s="4"/>
      <c r="L198" s="4"/>
      <c r="M198" s="4"/>
      <c r="N198" s="4"/>
      <c r="O198" s="4"/>
      <c r="P198" s="4"/>
      <c r="Q198" s="4"/>
      <c r="AK198" s="44">
        <f t="shared" si="7"/>
        <v>0</v>
      </c>
    </row>
    <row r="199" spans="2:37" ht="12.75" customHeight="1">
      <c r="B199" s="26">
        <f t="shared" si="8"/>
        <v>191</v>
      </c>
      <c r="C199" s="129" t="s">
        <v>278</v>
      </c>
      <c r="D199" s="125"/>
      <c r="E199" s="125">
        <f t="shared" ref="E199" si="10">TRUNC((14-0.5*2)/1+1.9)</f>
        <v>14</v>
      </c>
      <c r="F199" s="126">
        <v>5</v>
      </c>
      <c r="G199" s="127" t="s">
        <v>57</v>
      </c>
      <c r="H199" s="68">
        <f>17.83+0.5</f>
        <v>18.329999999999998</v>
      </c>
      <c r="I199" s="55">
        <f t="shared" si="6"/>
        <v>267.65465999999998</v>
      </c>
      <c r="J199" s="59"/>
      <c r="K199" s="4"/>
      <c r="L199" s="4"/>
      <c r="M199" s="4"/>
      <c r="N199" s="4"/>
      <c r="O199" s="4"/>
      <c r="P199" s="4"/>
      <c r="Q199" s="4"/>
      <c r="AK199" s="44">
        <f t="shared" si="7"/>
        <v>1.0429999999999999</v>
      </c>
    </row>
    <row r="200" spans="2:37" ht="12.75" customHeight="1">
      <c r="B200" s="26">
        <f t="shared" si="8"/>
        <v>192</v>
      </c>
      <c r="C200" s="129" t="s">
        <v>281</v>
      </c>
      <c r="D200" s="125"/>
      <c r="E200" s="125">
        <f>TRUNC((14-0.5*2)/1+1.9)</f>
        <v>14</v>
      </c>
      <c r="F200" s="126">
        <v>6</v>
      </c>
      <c r="G200" s="127" t="s">
        <v>57</v>
      </c>
      <c r="H200" s="128">
        <f>29.33+0.5*2</f>
        <v>30.33</v>
      </c>
      <c r="I200" s="55">
        <f t="shared" si="6"/>
        <v>637.77923999999996</v>
      </c>
      <c r="J200" s="59"/>
      <c r="K200" s="4"/>
      <c r="L200" s="4"/>
      <c r="M200" s="4"/>
      <c r="N200" s="4"/>
      <c r="O200" s="4"/>
      <c r="P200" s="4"/>
      <c r="Q200" s="4"/>
      <c r="AK200" s="44">
        <f t="shared" si="7"/>
        <v>1.502</v>
      </c>
    </row>
    <row r="201" spans="2:37" ht="12.75" customHeight="1">
      <c r="B201" s="26">
        <f t="shared" si="8"/>
        <v>193</v>
      </c>
      <c r="C201" s="129" t="s">
        <v>278</v>
      </c>
      <c r="D201" s="125"/>
      <c r="E201" s="125">
        <f t="shared" ref="E201:E202" si="11">TRUNC((14-0.5*2)/1+1.9)</f>
        <v>14</v>
      </c>
      <c r="F201" s="126">
        <v>5</v>
      </c>
      <c r="G201" s="127" t="s">
        <v>57</v>
      </c>
      <c r="H201" s="68">
        <f>17.67+0.5</f>
        <v>18.170000000000002</v>
      </c>
      <c r="I201" s="55">
        <f t="shared" si="6"/>
        <v>265.31833999999998</v>
      </c>
      <c r="J201" s="59"/>
      <c r="K201" s="4"/>
      <c r="M201" s="4"/>
      <c r="N201" s="4"/>
      <c r="O201" s="4"/>
      <c r="P201" s="4"/>
      <c r="Q201" s="4"/>
      <c r="AK201" s="44">
        <f t="shared" ref="AK201:AK264" si="12">IF(F201="",0,VLOOKUP(F201,$CI$16:$CJ$358,2,FALSE))</f>
        <v>1.0429999999999999</v>
      </c>
    </row>
    <row r="202" spans="2:37" ht="12.75" customHeight="1">
      <c r="B202" s="26">
        <f t="shared" ref="B202:B265" si="13">IF(B201="SL.NO",1,B201+1)</f>
        <v>194</v>
      </c>
      <c r="C202" s="129" t="s">
        <v>281</v>
      </c>
      <c r="D202" s="125"/>
      <c r="E202" s="125">
        <f t="shared" si="11"/>
        <v>14</v>
      </c>
      <c r="F202" s="126">
        <v>6</v>
      </c>
      <c r="G202" s="127" t="s">
        <v>57</v>
      </c>
      <c r="H202" s="68">
        <f>18.75+1</f>
        <v>19.75</v>
      </c>
      <c r="I202" s="55">
        <f t="shared" si="6"/>
        <v>415.303</v>
      </c>
      <c r="J202" s="59"/>
      <c r="K202" s="4"/>
      <c r="L202" s="4"/>
      <c r="M202" s="4"/>
      <c r="N202" s="4"/>
      <c r="O202" s="4"/>
      <c r="P202" s="4"/>
      <c r="Q202" s="4"/>
      <c r="AK202" s="44">
        <f t="shared" si="12"/>
        <v>1.502</v>
      </c>
    </row>
    <row r="203" spans="2:37" ht="12.75" customHeight="1">
      <c r="B203" s="26">
        <f t="shared" si="13"/>
        <v>195</v>
      </c>
      <c r="C203" s="130" t="s">
        <v>307</v>
      </c>
      <c r="D203" s="125"/>
      <c r="E203" s="125"/>
      <c r="F203" s="126"/>
      <c r="G203" s="127"/>
      <c r="H203" s="68"/>
      <c r="I203" s="55">
        <f t="shared" si="6"/>
        <v>0</v>
      </c>
      <c r="J203" s="59"/>
      <c r="K203" s="4"/>
      <c r="L203" s="4"/>
      <c r="M203" s="4"/>
      <c r="N203" s="4"/>
      <c r="O203" s="4"/>
      <c r="P203" s="4"/>
      <c r="Q203" s="4"/>
      <c r="AK203" s="44">
        <f t="shared" si="12"/>
        <v>0</v>
      </c>
    </row>
    <row r="204" spans="2:37" ht="12.75" customHeight="1">
      <c r="B204" s="26">
        <f t="shared" si="13"/>
        <v>196</v>
      </c>
      <c r="C204" s="129" t="s">
        <v>305</v>
      </c>
      <c r="D204" s="125"/>
      <c r="E204" s="125">
        <f>TRUNC((14-0.5*2)/1+1.9)</f>
        <v>14</v>
      </c>
      <c r="F204" s="126">
        <v>6</v>
      </c>
      <c r="G204" s="127" t="s">
        <v>57</v>
      </c>
      <c r="H204" s="68">
        <f>17.75+1</f>
        <v>18.75</v>
      </c>
      <c r="I204" s="55">
        <f t="shared" si="6"/>
        <v>394.27500000000003</v>
      </c>
      <c r="J204" s="59"/>
      <c r="L204" s="4"/>
      <c r="M204" s="4"/>
      <c r="N204" s="4"/>
      <c r="O204" s="4"/>
      <c r="P204" s="4"/>
      <c r="Q204" s="4"/>
      <c r="AK204" s="44">
        <f t="shared" si="12"/>
        <v>1.502</v>
      </c>
    </row>
    <row r="205" spans="2:37" ht="12.75" customHeight="1">
      <c r="B205" s="26">
        <f t="shared" si="13"/>
        <v>197</v>
      </c>
      <c r="C205" s="129" t="s">
        <v>284</v>
      </c>
      <c r="D205" s="125"/>
      <c r="E205" s="125">
        <f>TRUNC((14-0.42*2)/0.83+1.9)</f>
        <v>17</v>
      </c>
      <c r="F205" s="126">
        <v>7</v>
      </c>
      <c r="G205" s="127" t="s">
        <v>57</v>
      </c>
      <c r="H205" s="128">
        <f>29.42+2.33</f>
        <v>31.75</v>
      </c>
      <c r="I205" s="55">
        <f t="shared" si="6"/>
        <v>1103.249</v>
      </c>
      <c r="J205" s="59"/>
      <c r="K205" s="4"/>
      <c r="L205" s="4"/>
      <c r="M205" s="4"/>
      <c r="N205" s="4"/>
      <c r="O205" s="4"/>
      <c r="P205" s="4"/>
      <c r="Q205" s="4"/>
      <c r="AK205" s="44">
        <f t="shared" si="12"/>
        <v>2.044</v>
      </c>
    </row>
    <row r="206" spans="2:37" ht="12.75" customHeight="1">
      <c r="B206" s="26">
        <f t="shared" si="13"/>
        <v>198</v>
      </c>
      <c r="C206" s="129" t="s">
        <v>281</v>
      </c>
      <c r="D206" s="125"/>
      <c r="E206" s="125">
        <f>TRUNC((14-0.5*2)/1+1.9)</f>
        <v>14</v>
      </c>
      <c r="F206" s="126">
        <v>6</v>
      </c>
      <c r="G206" s="127" t="s">
        <v>57</v>
      </c>
      <c r="H206" s="128">
        <f>17.75+1</f>
        <v>18.75</v>
      </c>
      <c r="I206" s="55">
        <f t="shared" si="6"/>
        <v>394.27500000000003</v>
      </c>
      <c r="J206" s="59"/>
      <c r="K206" s="4"/>
      <c r="L206" s="4"/>
      <c r="M206" s="4"/>
      <c r="N206" s="4"/>
      <c r="O206" s="4"/>
      <c r="P206" s="4"/>
      <c r="Q206" s="4"/>
      <c r="AK206" s="44">
        <f t="shared" si="12"/>
        <v>1.502</v>
      </c>
    </row>
    <row r="207" spans="2:37" ht="12.75" customHeight="1">
      <c r="B207" s="26">
        <f t="shared" si="13"/>
        <v>199</v>
      </c>
      <c r="C207" s="130" t="s">
        <v>308</v>
      </c>
      <c r="D207" s="125"/>
      <c r="E207" s="125"/>
      <c r="F207" s="126"/>
      <c r="G207" s="127"/>
      <c r="H207" s="128"/>
      <c r="I207" s="55">
        <f t="shared" si="6"/>
        <v>0</v>
      </c>
      <c r="J207" s="59"/>
      <c r="K207" s="4"/>
      <c r="L207" s="4"/>
      <c r="M207" s="4"/>
      <c r="N207" s="4"/>
      <c r="O207" s="4"/>
      <c r="P207" s="4"/>
      <c r="Q207" s="4"/>
      <c r="AK207" s="44">
        <f t="shared" si="12"/>
        <v>0</v>
      </c>
    </row>
    <row r="208" spans="2:37" ht="12.75" customHeight="1">
      <c r="B208" s="26">
        <f t="shared" si="13"/>
        <v>200</v>
      </c>
      <c r="C208" s="129" t="s">
        <v>278</v>
      </c>
      <c r="D208" s="125"/>
      <c r="E208" s="125">
        <f t="shared" ref="E208" si="14">TRUNC((14-0.5*2)/1+1.9)</f>
        <v>14</v>
      </c>
      <c r="F208" s="126">
        <v>5</v>
      </c>
      <c r="G208" s="127" t="s">
        <v>57</v>
      </c>
      <c r="H208" s="68">
        <f>17.83+0.5</f>
        <v>18.329999999999998</v>
      </c>
      <c r="I208" s="55">
        <f t="shared" ref="I208:I271" si="15">IF(D208="",AK208*H208*E208,AK208*H208*E208*D208)</f>
        <v>267.65465999999998</v>
      </c>
      <c r="J208" s="59"/>
      <c r="K208" s="4"/>
      <c r="L208" s="4"/>
      <c r="M208" s="4"/>
      <c r="N208" s="4"/>
      <c r="O208" s="4"/>
      <c r="P208" s="4"/>
      <c r="Q208" s="4"/>
      <c r="AK208" s="44">
        <f t="shared" si="12"/>
        <v>1.0429999999999999</v>
      </c>
    </row>
    <row r="209" spans="2:37" ht="12.75" customHeight="1">
      <c r="B209" s="26">
        <f t="shared" si="13"/>
        <v>201</v>
      </c>
      <c r="C209" s="129" t="s">
        <v>281</v>
      </c>
      <c r="D209" s="125"/>
      <c r="E209" s="125">
        <f>TRUNC((12-0.5*2)/1+1.9)</f>
        <v>12</v>
      </c>
      <c r="F209" s="126">
        <v>6</v>
      </c>
      <c r="G209" s="127" t="s">
        <v>57</v>
      </c>
      <c r="H209" s="128">
        <f>29.33+0.5*2</f>
        <v>30.33</v>
      </c>
      <c r="I209" s="55">
        <f t="shared" si="15"/>
        <v>546.66791999999998</v>
      </c>
      <c r="J209" s="59"/>
      <c r="L209" s="4"/>
      <c r="M209" s="4"/>
      <c r="N209" s="4"/>
      <c r="O209" s="4"/>
      <c r="P209" s="4"/>
      <c r="Q209" s="4"/>
      <c r="AK209" s="44">
        <f t="shared" si="12"/>
        <v>1.502</v>
      </c>
    </row>
    <row r="210" spans="2:37" ht="12.75" customHeight="1">
      <c r="B210" s="26">
        <f t="shared" si="13"/>
        <v>202</v>
      </c>
      <c r="C210" s="129" t="s">
        <v>278</v>
      </c>
      <c r="D210" s="125"/>
      <c r="E210" s="125">
        <f>TRUNC((10-0.5*2)/1+1.9)</f>
        <v>10</v>
      </c>
      <c r="F210" s="126">
        <v>5</v>
      </c>
      <c r="G210" s="127" t="s">
        <v>57</v>
      </c>
      <c r="H210" s="68">
        <f>17.67+0.5</f>
        <v>18.170000000000002</v>
      </c>
      <c r="I210" s="55">
        <f t="shared" si="15"/>
        <v>189.51310000000001</v>
      </c>
      <c r="J210" s="59"/>
      <c r="K210" s="4"/>
      <c r="L210" s="4"/>
      <c r="M210" s="4"/>
      <c r="N210" s="4"/>
      <c r="O210" s="4"/>
      <c r="P210" s="4"/>
      <c r="Q210" s="4"/>
      <c r="AK210" s="44">
        <f t="shared" si="12"/>
        <v>1.0429999999999999</v>
      </c>
    </row>
    <row r="211" spans="2:37" ht="12.75" customHeight="1">
      <c r="B211" s="26">
        <f t="shared" si="13"/>
        <v>203</v>
      </c>
      <c r="C211" s="129" t="s">
        <v>281</v>
      </c>
      <c r="D211" s="125"/>
      <c r="E211" s="125">
        <f>TRUNC((10-0.5*2)/1+1.9)</f>
        <v>10</v>
      </c>
      <c r="F211" s="126">
        <v>6</v>
      </c>
      <c r="G211" s="127" t="s">
        <v>57</v>
      </c>
      <c r="H211" s="68">
        <f>18.75+1</f>
        <v>19.75</v>
      </c>
      <c r="I211" s="55">
        <f t="shared" si="15"/>
        <v>296.64499999999998</v>
      </c>
      <c r="J211" s="59"/>
      <c r="K211" s="4"/>
      <c r="L211" s="4"/>
      <c r="M211" s="4"/>
      <c r="N211" s="4"/>
      <c r="O211" s="4"/>
      <c r="P211" s="4"/>
      <c r="Q211" s="4"/>
      <c r="AK211" s="44">
        <f t="shared" si="12"/>
        <v>1.502</v>
      </c>
    </row>
    <row r="212" spans="2:37" ht="12.75" customHeight="1">
      <c r="B212" s="26">
        <f t="shared" si="13"/>
        <v>204</v>
      </c>
      <c r="C212" s="130" t="s">
        <v>309</v>
      </c>
      <c r="D212" s="125"/>
      <c r="E212" s="125"/>
      <c r="F212" s="126"/>
      <c r="G212" s="127"/>
      <c r="H212" s="68"/>
      <c r="I212" s="55">
        <f t="shared" si="15"/>
        <v>0</v>
      </c>
      <c r="J212" s="59"/>
      <c r="K212" s="4"/>
      <c r="L212" s="4"/>
      <c r="M212" s="4"/>
      <c r="N212" s="4"/>
      <c r="O212" s="4"/>
      <c r="P212" s="4"/>
      <c r="Q212" s="4"/>
      <c r="AK212" s="44">
        <f t="shared" si="12"/>
        <v>0</v>
      </c>
    </row>
    <row r="213" spans="2:37" ht="12.75" customHeight="1">
      <c r="B213" s="26">
        <f t="shared" si="13"/>
        <v>205</v>
      </c>
      <c r="C213" s="129" t="s">
        <v>304</v>
      </c>
      <c r="D213" s="125"/>
      <c r="E213" s="125">
        <f>TRUNC((7.25-0.5*2)/1+1.9)</f>
        <v>8</v>
      </c>
      <c r="F213" s="126">
        <v>6</v>
      </c>
      <c r="G213" s="127" t="s">
        <v>57</v>
      </c>
      <c r="H213" s="68">
        <v>18.670000000000002</v>
      </c>
      <c r="I213" s="55">
        <f t="shared" si="15"/>
        <v>224.33872000000002</v>
      </c>
      <c r="J213" s="59"/>
      <c r="K213" s="4"/>
      <c r="L213" s="4"/>
      <c r="M213" s="4"/>
      <c r="N213" s="4"/>
      <c r="O213" s="4"/>
      <c r="P213" s="4"/>
      <c r="Q213" s="4"/>
      <c r="AK213" s="44">
        <f t="shared" si="12"/>
        <v>1.502</v>
      </c>
    </row>
    <row r="214" spans="2:37" ht="12.75" customHeight="1">
      <c r="B214" s="26">
        <f t="shared" si="13"/>
        <v>206</v>
      </c>
      <c r="C214" s="129" t="s">
        <v>277</v>
      </c>
      <c r="D214" s="125"/>
      <c r="E214" s="125">
        <f>TRUNC((7.25-0.5*2)/1+1.9)</f>
        <v>8</v>
      </c>
      <c r="F214" s="126">
        <v>7</v>
      </c>
      <c r="G214" s="127" t="s">
        <v>57</v>
      </c>
      <c r="H214" s="128">
        <f>29.33+2.33</f>
        <v>31.659999999999997</v>
      </c>
      <c r="I214" s="55">
        <f t="shared" si="15"/>
        <v>517.70431999999994</v>
      </c>
      <c r="J214" s="59"/>
      <c r="K214" s="4"/>
      <c r="L214" s="4"/>
      <c r="M214" s="4"/>
      <c r="N214" s="4"/>
      <c r="O214" s="4"/>
      <c r="P214" s="4"/>
      <c r="Q214" s="4"/>
      <c r="AK214" s="44">
        <f t="shared" si="12"/>
        <v>2.044</v>
      </c>
    </row>
    <row r="215" spans="2:37" ht="12.75" customHeight="1">
      <c r="B215" s="26">
        <f t="shared" si="13"/>
        <v>207</v>
      </c>
      <c r="C215" s="129" t="s">
        <v>276</v>
      </c>
      <c r="D215" s="125"/>
      <c r="E215" s="125">
        <f>TRUNC((7.25-0.42*2)/0.83+1.9)</f>
        <v>9</v>
      </c>
      <c r="F215" s="126">
        <v>5</v>
      </c>
      <c r="G215" s="127" t="s">
        <v>57</v>
      </c>
      <c r="H215" s="128">
        <f>17.67+2</f>
        <v>19.670000000000002</v>
      </c>
      <c r="I215" s="55">
        <f t="shared" si="15"/>
        <v>184.64229</v>
      </c>
      <c r="J215" s="59"/>
      <c r="K215" s="4"/>
      <c r="L215" s="4"/>
      <c r="M215" s="4"/>
      <c r="N215" s="4"/>
      <c r="O215" s="4"/>
      <c r="P215" s="4"/>
      <c r="Q215" s="4"/>
      <c r="AK215" s="44">
        <f t="shared" si="12"/>
        <v>1.0429999999999999</v>
      </c>
    </row>
    <row r="216" spans="2:37" ht="12.75" customHeight="1">
      <c r="B216" s="26">
        <f t="shared" si="13"/>
        <v>208</v>
      </c>
      <c r="C216" s="129" t="s">
        <v>281</v>
      </c>
      <c r="D216" s="125"/>
      <c r="E216" s="125">
        <f>TRUNC((7.25-0.5*2)/1+1.9)</f>
        <v>8</v>
      </c>
      <c r="F216" s="126">
        <v>6</v>
      </c>
      <c r="G216" s="127" t="s">
        <v>57</v>
      </c>
      <c r="H216" s="128">
        <f>19.58+2</f>
        <v>21.58</v>
      </c>
      <c r="I216" s="55">
        <f t="shared" si="15"/>
        <v>259.30527999999998</v>
      </c>
      <c r="J216" s="59"/>
      <c r="K216" s="4"/>
      <c r="L216" s="4"/>
      <c r="M216" s="4"/>
      <c r="N216" s="4"/>
      <c r="O216" s="4"/>
      <c r="P216" s="4"/>
      <c r="Q216" s="4"/>
      <c r="AK216" s="44">
        <f t="shared" si="12"/>
        <v>1.502</v>
      </c>
    </row>
    <row r="217" spans="2:37" ht="12.75" customHeight="1">
      <c r="B217" s="26">
        <f t="shared" si="13"/>
        <v>209</v>
      </c>
      <c r="C217" s="129" t="s">
        <v>277</v>
      </c>
      <c r="D217" s="125"/>
      <c r="E217" s="125">
        <f>TRUNC((7.58-0.5*2)/1+1.9)</f>
        <v>8</v>
      </c>
      <c r="F217" s="126">
        <v>7</v>
      </c>
      <c r="G217" s="127" t="s">
        <v>57</v>
      </c>
      <c r="H217" s="68">
        <f>23.17+1.17</f>
        <v>24.340000000000003</v>
      </c>
      <c r="I217" s="55">
        <f t="shared" si="15"/>
        <v>398.00768000000005</v>
      </c>
      <c r="J217" s="59"/>
      <c r="K217" s="4"/>
      <c r="M217" s="4"/>
      <c r="N217" s="4"/>
      <c r="O217" s="4"/>
      <c r="P217" s="4"/>
      <c r="Q217" s="4"/>
      <c r="AK217" s="44">
        <f t="shared" si="12"/>
        <v>2.044</v>
      </c>
    </row>
    <row r="218" spans="2:37" ht="12.75" customHeight="1">
      <c r="B218" s="26">
        <f t="shared" si="13"/>
        <v>210</v>
      </c>
      <c r="C218" s="129" t="s">
        <v>305</v>
      </c>
      <c r="D218" s="125"/>
      <c r="E218" s="125">
        <f>TRUNC((7-0.5*2)/1+1.9)</f>
        <v>7</v>
      </c>
      <c r="F218" s="126">
        <v>6</v>
      </c>
      <c r="G218" s="127" t="s">
        <v>57</v>
      </c>
      <c r="H218" s="68">
        <v>18.75</v>
      </c>
      <c r="I218" s="55">
        <f t="shared" si="15"/>
        <v>197.13750000000002</v>
      </c>
      <c r="J218" s="59"/>
      <c r="K218" s="4"/>
      <c r="L218" s="4"/>
      <c r="M218" s="4"/>
      <c r="N218" s="4"/>
      <c r="O218" s="4"/>
      <c r="P218" s="4"/>
      <c r="Q218" s="4"/>
      <c r="AK218" s="44">
        <f t="shared" si="12"/>
        <v>1.502</v>
      </c>
    </row>
    <row r="219" spans="2:37" ht="12.75" customHeight="1">
      <c r="B219" s="26">
        <f t="shared" si="13"/>
        <v>211</v>
      </c>
      <c r="C219" s="129" t="s">
        <v>284</v>
      </c>
      <c r="D219" s="125"/>
      <c r="E219" s="125">
        <f>TRUNC((7-0.42*2)/0.83+1.9)</f>
        <v>9</v>
      </c>
      <c r="F219" s="126">
        <v>7</v>
      </c>
      <c r="G219" s="127" t="s">
        <v>57</v>
      </c>
      <c r="H219" s="128">
        <f>29.42+2.33</f>
        <v>31.75</v>
      </c>
      <c r="I219" s="55">
        <f t="shared" si="15"/>
        <v>584.07300000000009</v>
      </c>
      <c r="J219" s="59"/>
      <c r="K219" s="4"/>
      <c r="L219" s="4"/>
      <c r="M219" s="4"/>
      <c r="N219" s="4"/>
      <c r="O219" s="4"/>
      <c r="P219" s="4"/>
      <c r="Q219" s="4"/>
      <c r="AK219" s="44">
        <f t="shared" si="12"/>
        <v>2.044</v>
      </c>
    </row>
    <row r="220" spans="2:37" ht="12.75" customHeight="1">
      <c r="B220" s="26">
        <f t="shared" si="13"/>
        <v>212</v>
      </c>
      <c r="C220" s="129" t="s">
        <v>281</v>
      </c>
      <c r="D220" s="125"/>
      <c r="E220" s="125">
        <f>TRUNC((6.17-0.5*2)/1+1.9)</f>
        <v>7</v>
      </c>
      <c r="F220" s="126">
        <v>6</v>
      </c>
      <c r="G220" s="127" t="s">
        <v>57</v>
      </c>
      <c r="H220" s="128">
        <f>17.75+1</f>
        <v>18.75</v>
      </c>
      <c r="I220" s="55">
        <f t="shared" si="15"/>
        <v>197.13750000000002</v>
      </c>
      <c r="J220" s="59"/>
      <c r="L220" s="4"/>
      <c r="M220" s="4"/>
      <c r="N220" s="4"/>
      <c r="O220" s="4"/>
      <c r="P220" s="4"/>
      <c r="Q220" s="4"/>
      <c r="AK220" s="44">
        <f t="shared" si="12"/>
        <v>1.502</v>
      </c>
    </row>
    <row r="221" spans="2:37" ht="12.75" customHeight="1">
      <c r="B221" s="26">
        <f t="shared" si="13"/>
        <v>213</v>
      </c>
      <c r="C221" s="130" t="s">
        <v>310</v>
      </c>
      <c r="D221" s="125"/>
      <c r="E221" s="125"/>
      <c r="F221" s="126"/>
      <c r="G221" s="127"/>
      <c r="H221" s="128"/>
      <c r="I221" s="55">
        <f t="shared" si="15"/>
        <v>0</v>
      </c>
      <c r="J221" s="59"/>
      <c r="K221" s="4"/>
      <c r="L221" s="4"/>
      <c r="M221" s="4"/>
      <c r="N221" s="4"/>
      <c r="O221" s="4"/>
      <c r="P221" s="4"/>
      <c r="Q221" s="4"/>
      <c r="AK221" s="44">
        <f t="shared" si="12"/>
        <v>0</v>
      </c>
    </row>
    <row r="222" spans="2:37" ht="12.75" customHeight="1">
      <c r="B222" s="26">
        <f t="shared" si="13"/>
        <v>214</v>
      </c>
      <c r="C222" s="129" t="s">
        <v>278</v>
      </c>
      <c r="D222" s="125"/>
      <c r="E222" s="125">
        <f>TRUNC((14.25-0.5*2)/1+1.9)</f>
        <v>15</v>
      </c>
      <c r="F222" s="126">
        <v>5</v>
      </c>
      <c r="G222" s="127" t="s">
        <v>57</v>
      </c>
      <c r="H222" s="68">
        <f>17.83</f>
        <v>17.829999999999998</v>
      </c>
      <c r="I222" s="55">
        <f t="shared" si="15"/>
        <v>278.95034999999996</v>
      </c>
      <c r="J222" s="59"/>
      <c r="K222" s="4"/>
      <c r="L222" s="4"/>
      <c r="M222" s="4"/>
      <c r="N222" s="4"/>
      <c r="O222" s="4"/>
      <c r="P222" s="4"/>
      <c r="Q222" s="4"/>
      <c r="AK222" s="44">
        <f t="shared" si="12"/>
        <v>1.0429999999999999</v>
      </c>
    </row>
    <row r="223" spans="2:37" ht="12.75" customHeight="1">
      <c r="B223" s="26">
        <f t="shared" si="13"/>
        <v>215</v>
      </c>
      <c r="C223" s="129" t="s">
        <v>281</v>
      </c>
      <c r="D223" s="125"/>
      <c r="E223" s="125">
        <f>TRUNC((14.58-0.5*2)/1+1.9)</f>
        <v>15</v>
      </c>
      <c r="F223" s="126">
        <v>6</v>
      </c>
      <c r="G223" s="127" t="s">
        <v>57</v>
      </c>
      <c r="H223" s="128">
        <v>30.25</v>
      </c>
      <c r="I223" s="55">
        <f t="shared" si="15"/>
        <v>681.53249999999991</v>
      </c>
      <c r="J223" s="59"/>
      <c r="K223" s="4"/>
      <c r="L223" s="4"/>
      <c r="M223" s="4"/>
      <c r="N223" s="4"/>
      <c r="O223" s="4"/>
      <c r="P223" s="4"/>
      <c r="Q223" s="4"/>
      <c r="AK223" s="44">
        <f t="shared" si="12"/>
        <v>1.502</v>
      </c>
    </row>
    <row r="224" spans="2:37" ht="12.75" customHeight="1">
      <c r="B224" s="26">
        <f t="shared" si="13"/>
        <v>216</v>
      </c>
      <c r="C224" s="129" t="s">
        <v>278</v>
      </c>
      <c r="D224" s="125"/>
      <c r="E224" s="125">
        <f>TRUNC((14.75-0.5*2)/1+1.9)</f>
        <v>15</v>
      </c>
      <c r="F224" s="126">
        <v>5</v>
      </c>
      <c r="G224" s="127" t="s">
        <v>57</v>
      </c>
      <c r="H224" s="68">
        <v>18.329999999999998</v>
      </c>
      <c r="I224" s="55">
        <f t="shared" si="15"/>
        <v>286.77284999999995</v>
      </c>
      <c r="J224" s="59"/>
      <c r="K224" s="4"/>
      <c r="L224" s="4"/>
      <c r="M224" s="4"/>
      <c r="N224" s="4"/>
      <c r="O224" s="4"/>
      <c r="P224" s="4"/>
      <c r="Q224" s="4"/>
      <c r="AK224" s="44">
        <f t="shared" si="12"/>
        <v>1.0429999999999999</v>
      </c>
    </row>
    <row r="225" spans="2:37" ht="12.75" customHeight="1">
      <c r="B225" s="26">
        <f t="shared" si="13"/>
        <v>217</v>
      </c>
      <c r="C225" s="129" t="s">
        <v>281</v>
      </c>
      <c r="D225" s="125"/>
      <c r="E225" s="125">
        <f>TRUNC((14.75-0.5*2)/1+1.9)</f>
        <v>15</v>
      </c>
      <c r="F225" s="126">
        <v>6</v>
      </c>
      <c r="G225" s="127" t="s">
        <v>57</v>
      </c>
      <c r="H225" s="68">
        <v>20.58</v>
      </c>
      <c r="I225" s="55">
        <f t="shared" si="15"/>
        <v>463.66739999999999</v>
      </c>
      <c r="J225" s="59"/>
      <c r="L225" s="4"/>
      <c r="M225" s="4"/>
      <c r="N225" s="4"/>
      <c r="O225" s="4"/>
      <c r="P225" s="4"/>
      <c r="Q225" s="4"/>
      <c r="AK225" s="44">
        <f t="shared" si="12"/>
        <v>1.502</v>
      </c>
    </row>
    <row r="226" spans="2:37" ht="12.75" customHeight="1">
      <c r="B226" s="26">
        <f t="shared" si="13"/>
        <v>218</v>
      </c>
      <c r="C226" s="129" t="s">
        <v>281</v>
      </c>
      <c r="D226" s="125"/>
      <c r="E226" s="125">
        <f>TRUNC((15.75-0.5*2)/1+1.9)</f>
        <v>16</v>
      </c>
      <c r="F226" s="126">
        <v>6</v>
      </c>
      <c r="G226" s="127" t="s">
        <v>57</v>
      </c>
      <c r="H226" s="68">
        <v>23.58</v>
      </c>
      <c r="I226" s="55">
        <f t="shared" si="15"/>
        <v>566.67455999999993</v>
      </c>
      <c r="J226" s="59"/>
      <c r="K226" s="4"/>
      <c r="L226" s="4"/>
      <c r="M226" s="4"/>
      <c r="N226" s="4"/>
      <c r="O226" s="4"/>
      <c r="P226" s="4"/>
      <c r="Q226" s="4"/>
      <c r="AK226" s="44">
        <f t="shared" si="12"/>
        <v>1.502</v>
      </c>
    </row>
    <row r="227" spans="2:37" ht="12.75" customHeight="1">
      <c r="B227" s="26">
        <f t="shared" si="13"/>
        <v>219</v>
      </c>
      <c r="C227" s="130" t="s">
        <v>311</v>
      </c>
      <c r="D227" s="125"/>
      <c r="E227" s="125"/>
      <c r="F227" s="126"/>
      <c r="G227" s="127"/>
      <c r="H227" s="68"/>
      <c r="I227" s="55">
        <f t="shared" si="15"/>
        <v>0</v>
      </c>
      <c r="J227" s="59"/>
      <c r="K227" s="4"/>
      <c r="L227" s="4"/>
      <c r="M227" s="4"/>
      <c r="N227" s="4"/>
      <c r="O227" s="4"/>
      <c r="P227" s="4"/>
      <c r="Q227" s="4"/>
      <c r="AK227" s="44">
        <f t="shared" si="12"/>
        <v>0</v>
      </c>
    </row>
    <row r="228" spans="2:37" ht="12.75" customHeight="1">
      <c r="B228" s="26">
        <f t="shared" si="13"/>
        <v>220</v>
      </c>
      <c r="C228" s="129" t="s">
        <v>278</v>
      </c>
      <c r="D228" s="125"/>
      <c r="E228" s="125">
        <f>TRUNC((12.58-0.5*2)/1+1.9)</f>
        <v>13</v>
      </c>
      <c r="F228" s="126">
        <v>5</v>
      </c>
      <c r="G228" s="127" t="s">
        <v>57</v>
      </c>
      <c r="H228" s="68">
        <f>17.83-0.08+1</f>
        <v>18.75</v>
      </c>
      <c r="I228" s="55">
        <f t="shared" si="15"/>
        <v>254.23124999999999</v>
      </c>
      <c r="J228" s="59"/>
      <c r="K228" s="4"/>
      <c r="L228" s="4"/>
      <c r="M228" s="4"/>
      <c r="N228" s="4"/>
      <c r="O228" s="4"/>
      <c r="P228" s="4"/>
      <c r="Q228" s="4"/>
      <c r="AK228" s="44">
        <f t="shared" si="12"/>
        <v>1.0429999999999999</v>
      </c>
    </row>
    <row r="229" spans="2:37" ht="12.75" customHeight="1">
      <c r="B229" s="26">
        <f t="shared" si="13"/>
        <v>221</v>
      </c>
      <c r="C229" s="129" t="s">
        <v>281</v>
      </c>
      <c r="D229" s="125"/>
      <c r="E229" s="125">
        <f>TRUNC((12.58-0.5*2)/1+1.9)</f>
        <v>13</v>
      </c>
      <c r="F229" s="126">
        <v>6</v>
      </c>
      <c r="G229" s="127" t="s">
        <v>57</v>
      </c>
      <c r="H229" s="128">
        <f>26+1*2</f>
        <v>28</v>
      </c>
      <c r="I229" s="55">
        <f t="shared" si="15"/>
        <v>546.72799999999995</v>
      </c>
      <c r="J229" s="59"/>
      <c r="K229" s="4"/>
      <c r="L229" s="4"/>
      <c r="M229" s="4"/>
      <c r="N229" s="4"/>
      <c r="O229" s="4"/>
      <c r="P229" s="4"/>
      <c r="Q229" s="4"/>
      <c r="AK229" s="44">
        <f t="shared" si="12"/>
        <v>1.502</v>
      </c>
    </row>
    <row r="230" spans="2:37" ht="12.75" customHeight="1">
      <c r="B230" s="26">
        <f t="shared" si="13"/>
        <v>222</v>
      </c>
      <c r="C230" s="129" t="s">
        <v>278</v>
      </c>
      <c r="D230" s="125"/>
      <c r="E230" s="125">
        <f>TRUNC((12.58-0.5*2)/1+1.9)</f>
        <v>13</v>
      </c>
      <c r="F230" s="126">
        <v>5</v>
      </c>
      <c r="G230" s="127" t="s">
        <v>57</v>
      </c>
      <c r="H230" s="128">
        <f>20.75+1*2</f>
        <v>22.75</v>
      </c>
      <c r="I230" s="55">
        <f t="shared" si="15"/>
        <v>308.46724999999998</v>
      </c>
      <c r="J230" s="59"/>
      <c r="K230" s="4"/>
      <c r="L230" s="4"/>
      <c r="M230" s="4"/>
      <c r="N230" s="4"/>
      <c r="O230" s="4"/>
      <c r="P230" s="4"/>
      <c r="Q230" s="4"/>
      <c r="AK230" s="44">
        <f t="shared" si="12"/>
        <v>1.0429999999999999</v>
      </c>
    </row>
    <row r="231" spans="2:37" ht="12.75" customHeight="1">
      <c r="B231" s="26">
        <f t="shared" si="13"/>
        <v>223</v>
      </c>
      <c r="C231" s="129" t="s">
        <v>276</v>
      </c>
      <c r="D231" s="125"/>
      <c r="E231" s="125">
        <f>TRUNC((12.58-0.42*2)/0.5+1.9)</f>
        <v>25</v>
      </c>
      <c r="F231" s="126">
        <v>5</v>
      </c>
      <c r="G231" s="127" t="s">
        <v>57</v>
      </c>
      <c r="H231" s="128">
        <f>15.25+1*2</f>
        <v>17.25</v>
      </c>
      <c r="I231" s="55">
        <f t="shared" si="15"/>
        <v>449.79374999999999</v>
      </c>
      <c r="J231" s="59"/>
      <c r="K231" s="4"/>
      <c r="L231" s="4"/>
      <c r="M231" s="4"/>
      <c r="N231" s="4"/>
      <c r="O231" s="4"/>
      <c r="P231" s="4"/>
      <c r="Q231" s="4"/>
      <c r="AK231" s="44">
        <f t="shared" si="12"/>
        <v>1.0429999999999999</v>
      </c>
    </row>
    <row r="232" spans="2:37" ht="12.75" customHeight="1">
      <c r="B232" s="26">
        <f t="shared" si="13"/>
        <v>224</v>
      </c>
      <c r="C232" s="129" t="s">
        <v>284</v>
      </c>
      <c r="D232" s="125"/>
      <c r="E232" s="125">
        <f>TRUNC((12.58-0.42*2)/0.5+1.9)</f>
        <v>25</v>
      </c>
      <c r="F232" s="126">
        <v>7</v>
      </c>
      <c r="G232" s="127" t="s">
        <v>57</v>
      </c>
      <c r="H232" s="68">
        <f>27.17-0.08+1.33</f>
        <v>28.42</v>
      </c>
      <c r="I232" s="55">
        <f t="shared" si="15"/>
        <v>1452.2620000000002</v>
      </c>
      <c r="J232" s="59"/>
      <c r="K232" s="4"/>
      <c r="L232" s="4"/>
      <c r="M232" s="4"/>
      <c r="N232" s="4"/>
      <c r="O232" s="4"/>
      <c r="P232" s="4"/>
      <c r="Q232" s="4"/>
      <c r="AK232" s="44">
        <f t="shared" si="12"/>
        <v>2.044</v>
      </c>
    </row>
    <row r="233" spans="2:37" ht="12.75" customHeight="1">
      <c r="B233" s="26">
        <f t="shared" si="13"/>
        <v>225</v>
      </c>
      <c r="C233" s="130" t="s">
        <v>312</v>
      </c>
      <c r="D233" s="125"/>
      <c r="E233" s="125"/>
      <c r="F233" s="126"/>
      <c r="G233" s="127"/>
      <c r="H233" s="128"/>
      <c r="I233" s="55">
        <f t="shared" si="15"/>
        <v>0</v>
      </c>
      <c r="J233" s="59"/>
      <c r="K233" s="4"/>
      <c r="M233" s="4"/>
      <c r="N233" s="4"/>
      <c r="O233" s="4"/>
      <c r="P233" s="4"/>
      <c r="Q233" s="4"/>
      <c r="AK233" s="44">
        <f t="shared" si="12"/>
        <v>0</v>
      </c>
    </row>
    <row r="234" spans="2:37" ht="12.75" customHeight="1">
      <c r="B234" s="26">
        <f t="shared" si="13"/>
        <v>226</v>
      </c>
      <c r="C234" s="129" t="s">
        <v>278</v>
      </c>
      <c r="D234" s="125"/>
      <c r="E234" s="125">
        <f>TRUNC((10-0.5*2)/1+1.9)</f>
        <v>10</v>
      </c>
      <c r="F234" s="126">
        <v>5</v>
      </c>
      <c r="G234" s="127" t="s">
        <v>57</v>
      </c>
      <c r="H234" s="68">
        <v>10.42</v>
      </c>
      <c r="I234" s="55">
        <f t="shared" si="15"/>
        <v>108.6806</v>
      </c>
      <c r="J234" s="59"/>
      <c r="K234" s="4"/>
      <c r="L234" s="4"/>
      <c r="M234" s="4"/>
      <c r="N234" s="4"/>
      <c r="O234" s="4"/>
      <c r="P234" s="4"/>
      <c r="Q234" s="4"/>
      <c r="AK234" s="44">
        <f t="shared" si="12"/>
        <v>1.0429999999999999</v>
      </c>
    </row>
    <row r="235" spans="2:37" ht="12.75" customHeight="1">
      <c r="B235" s="26">
        <f t="shared" si="13"/>
        <v>227</v>
      </c>
      <c r="C235" s="129" t="s">
        <v>281</v>
      </c>
      <c r="D235" s="125"/>
      <c r="E235" s="125">
        <f>TRUNC((10-0.5*2)/1+1.9)</f>
        <v>10</v>
      </c>
      <c r="F235" s="126">
        <v>6</v>
      </c>
      <c r="G235" s="127" t="s">
        <v>57</v>
      </c>
      <c r="H235" s="128">
        <v>20.67</v>
      </c>
      <c r="I235" s="55">
        <f t="shared" si="15"/>
        <v>310.46340000000004</v>
      </c>
      <c r="J235" s="59"/>
      <c r="K235" s="4"/>
      <c r="L235" s="4"/>
      <c r="M235" s="4"/>
      <c r="N235" s="4"/>
      <c r="O235" s="4"/>
      <c r="P235" s="4"/>
      <c r="Q235" s="4"/>
      <c r="AK235" s="44">
        <f t="shared" si="12"/>
        <v>1.502</v>
      </c>
    </row>
    <row r="236" spans="2:37" ht="12.75" customHeight="1">
      <c r="B236" s="26">
        <f t="shared" si="13"/>
        <v>228</v>
      </c>
      <c r="C236" s="129" t="s">
        <v>283</v>
      </c>
      <c r="D236" s="125"/>
      <c r="E236" s="125">
        <f>TRUNC((10-0.42*2)/0.83+1.9)</f>
        <v>12</v>
      </c>
      <c r="F236" s="126">
        <v>8</v>
      </c>
      <c r="G236" s="127" t="s">
        <v>57</v>
      </c>
      <c r="H236" s="68">
        <v>34</v>
      </c>
      <c r="I236" s="55">
        <f t="shared" si="15"/>
        <v>1089.3600000000001</v>
      </c>
      <c r="J236" s="59"/>
      <c r="L236" s="4"/>
      <c r="M236" s="4"/>
      <c r="N236" s="4"/>
      <c r="O236" s="4"/>
      <c r="P236" s="4"/>
      <c r="Q236" s="4"/>
      <c r="AK236" s="44">
        <f t="shared" si="12"/>
        <v>2.67</v>
      </c>
    </row>
    <row r="237" spans="2:37" ht="12.75" customHeight="1">
      <c r="B237" s="26">
        <f t="shared" si="13"/>
        <v>229</v>
      </c>
      <c r="C237" s="129" t="s">
        <v>313</v>
      </c>
      <c r="D237" s="125"/>
      <c r="E237" s="125">
        <v>4</v>
      </c>
      <c r="F237" s="126">
        <v>8</v>
      </c>
      <c r="G237" s="127" t="s">
        <v>57</v>
      </c>
      <c r="H237" s="68">
        <v>10.42</v>
      </c>
      <c r="I237" s="55">
        <f t="shared" si="15"/>
        <v>111.2856</v>
      </c>
      <c r="J237" s="59"/>
      <c r="K237" s="4"/>
      <c r="L237" s="4"/>
      <c r="M237" s="4"/>
      <c r="N237" s="4"/>
      <c r="O237" s="4"/>
      <c r="P237" s="4"/>
      <c r="Q237" s="4"/>
      <c r="AK237" s="44">
        <f t="shared" si="12"/>
        <v>2.67</v>
      </c>
    </row>
    <row r="238" spans="2:37" ht="12.75" customHeight="1">
      <c r="B238" s="26">
        <f t="shared" si="13"/>
        <v>230</v>
      </c>
      <c r="C238" s="130" t="s">
        <v>314</v>
      </c>
      <c r="D238" s="125"/>
      <c r="E238" s="125"/>
      <c r="F238" s="126"/>
      <c r="G238" s="127"/>
      <c r="H238" s="68"/>
      <c r="I238" s="55">
        <f t="shared" si="15"/>
        <v>0</v>
      </c>
      <c r="J238" s="59"/>
      <c r="K238" s="4"/>
      <c r="L238" s="4"/>
      <c r="M238" s="4"/>
      <c r="N238" s="4"/>
      <c r="O238" s="4"/>
      <c r="P238" s="4"/>
      <c r="Q238" s="4"/>
      <c r="AK238" s="44">
        <f t="shared" si="12"/>
        <v>0</v>
      </c>
    </row>
    <row r="239" spans="2:37" ht="12.75" customHeight="1">
      <c r="B239" s="26">
        <f t="shared" si="13"/>
        <v>231</v>
      </c>
      <c r="C239" s="129" t="s">
        <v>278</v>
      </c>
      <c r="D239" s="125"/>
      <c r="E239" s="125">
        <f>TRUNC((9.33-0.5*2)/1+1.9)</f>
        <v>10</v>
      </c>
      <c r="F239" s="126">
        <v>5</v>
      </c>
      <c r="G239" s="127" t="s">
        <v>57</v>
      </c>
      <c r="H239" s="68">
        <v>31.5</v>
      </c>
      <c r="I239" s="55">
        <f t="shared" si="15"/>
        <v>328.54499999999996</v>
      </c>
      <c r="J239" s="59"/>
      <c r="L239" s="4"/>
      <c r="M239" s="4"/>
      <c r="N239" s="4"/>
      <c r="O239" s="4"/>
      <c r="P239" s="4"/>
      <c r="Q239" s="4"/>
      <c r="AK239" s="44">
        <f t="shared" si="12"/>
        <v>1.0429999999999999</v>
      </c>
    </row>
    <row r="240" spans="2:37" ht="12.75" customHeight="1">
      <c r="B240" s="26">
        <f t="shared" si="13"/>
        <v>232</v>
      </c>
      <c r="C240" s="130" t="s">
        <v>315</v>
      </c>
      <c r="D240" s="125"/>
      <c r="E240" s="125"/>
      <c r="F240" s="126"/>
      <c r="G240" s="127"/>
      <c r="H240" s="128"/>
      <c r="I240" s="55">
        <f t="shared" si="15"/>
        <v>0</v>
      </c>
      <c r="J240" s="59"/>
      <c r="K240" s="4"/>
      <c r="L240" s="4"/>
      <c r="M240" s="4"/>
      <c r="N240" s="4"/>
      <c r="O240" s="4"/>
      <c r="P240" s="4"/>
      <c r="Q240" s="4"/>
      <c r="AK240" s="44">
        <f t="shared" si="12"/>
        <v>0</v>
      </c>
    </row>
    <row r="241" spans="2:37" ht="12.75" customHeight="1">
      <c r="B241" s="26">
        <f t="shared" si="13"/>
        <v>233</v>
      </c>
      <c r="C241" s="129" t="s">
        <v>278</v>
      </c>
      <c r="D241" s="125"/>
      <c r="E241" s="125">
        <f>TRUNC((9-0.5*2)/1+1.9)</f>
        <v>9</v>
      </c>
      <c r="F241" s="126">
        <v>5</v>
      </c>
      <c r="G241" s="127" t="s">
        <v>57</v>
      </c>
      <c r="H241" s="68">
        <v>14.83</v>
      </c>
      <c r="I241" s="55">
        <f t="shared" si="15"/>
        <v>139.20920999999998</v>
      </c>
      <c r="J241" s="59"/>
      <c r="K241" s="4"/>
      <c r="L241" s="4"/>
      <c r="M241" s="4"/>
      <c r="N241" s="4"/>
      <c r="O241" s="4"/>
      <c r="P241" s="4"/>
      <c r="Q241" s="4"/>
      <c r="AK241" s="44">
        <f t="shared" si="12"/>
        <v>1.0429999999999999</v>
      </c>
    </row>
    <row r="242" spans="2:37" ht="12.75" customHeight="1">
      <c r="B242" s="26">
        <f t="shared" si="13"/>
        <v>234</v>
      </c>
      <c r="C242" s="129" t="s">
        <v>283</v>
      </c>
      <c r="D242" s="66"/>
      <c r="E242" s="125">
        <f>TRUNC((9-0.42*2)/0.83+1.9)</f>
        <v>11</v>
      </c>
      <c r="F242" s="67">
        <v>8</v>
      </c>
      <c r="G242" s="127" t="s">
        <v>57</v>
      </c>
      <c r="H242" s="68">
        <v>32.58</v>
      </c>
      <c r="I242" s="55">
        <f t="shared" si="15"/>
        <v>956.87459999999987</v>
      </c>
      <c r="J242" s="59"/>
      <c r="K242" s="4"/>
      <c r="L242" s="4"/>
      <c r="M242" s="4"/>
      <c r="N242" s="4"/>
      <c r="O242" s="4"/>
      <c r="P242" s="4"/>
      <c r="Q242" s="4"/>
      <c r="AK242" s="44">
        <f t="shared" si="12"/>
        <v>2.67</v>
      </c>
    </row>
    <row r="243" spans="2:37" ht="12.75" customHeight="1">
      <c r="B243" s="26">
        <f t="shared" si="13"/>
        <v>235</v>
      </c>
      <c r="C243" s="129" t="s">
        <v>281</v>
      </c>
      <c r="D243" s="66"/>
      <c r="E243" s="125">
        <f t="shared" ref="E243:E244" si="16">TRUNC((9-0.5*2)/1+1.9)</f>
        <v>9</v>
      </c>
      <c r="F243" s="67">
        <v>6</v>
      </c>
      <c r="G243" s="127" t="s">
        <v>57</v>
      </c>
      <c r="H243" s="68">
        <v>22.33</v>
      </c>
      <c r="I243" s="55">
        <f t="shared" si="15"/>
        <v>301.85694000000001</v>
      </c>
      <c r="J243" s="59"/>
      <c r="K243" s="4"/>
      <c r="L243" s="4"/>
      <c r="M243" s="4"/>
      <c r="N243" s="4"/>
      <c r="O243" s="4"/>
      <c r="P243" s="4"/>
      <c r="Q243" s="4"/>
      <c r="AK243" s="44">
        <f t="shared" si="12"/>
        <v>1.502</v>
      </c>
    </row>
    <row r="244" spans="2:37" ht="12.75" customHeight="1">
      <c r="B244" s="26">
        <f t="shared" si="13"/>
        <v>236</v>
      </c>
      <c r="C244" s="129" t="s">
        <v>281</v>
      </c>
      <c r="D244" s="66"/>
      <c r="E244" s="125">
        <f t="shared" si="16"/>
        <v>9</v>
      </c>
      <c r="F244" s="67">
        <v>6</v>
      </c>
      <c r="G244" s="127" t="s">
        <v>57</v>
      </c>
      <c r="H244" s="68">
        <v>10.17</v>
      </c>
      <c r="I244" s="55">
        <f t="shared" si="15"/>
        <v>137.47806</v>
      </c>
      <c r="J244" s="59"/>
      <c r="K244" s="4"/>
      <c r="M244" s="4"/>
      <c r="N244" s="4"/>
      <c r="O244" s="4"/>
      <c r="P244" s="4"/>
      <c r="Q244" s="4"/>
      <c r="AK244" s="44">
        <f t="shared" si="12"/>
        <v>1.502</v>
      </c>
    </row>
    <row r="245" spans="2:37" ht="12.75" customHeight="1">
      <c r="B245" s="26">
        <f t="shared" si="13"/>
        <v>237</v>
      </c>
      <c r="C245" s="129" t="s">
        <v>283</v>
      </c>
      <c r="D245" s="125"/>
      <c r="E245" s="125">
        <f>TRUNC((9.33-0.5*2)/1+1.9)</f>
        <v>10</v>
      </c>
      <c r="F245" s="126">
        <v>8</v>
      </c>
      <c r="G245" s="127" t="s">
        <v>57</v>
      </c>
      <c r="H245" s="68">
        <v>28</v>
      </c>
      <c r="I245" s="55">
        <f t="shared" si="15"/>
        <v>747.59999999999991</v>
      </c>
      <c r="J245" s="59"/>
      <c r="K245" s="4"/>
      <c r="L245" s="4"/>
      <c r="M245" s="4"/>
      <c r="N245" s="4"/>
      <c r="O245" s="4"/>
      <c r="P245" s="4"/>
      <c r="Q245" s="4"/>
      <c r="AK245" s="44">
        <f t="shared" si="12"/>
        <v>2.67</v>
      </c>
    </row>
    <row r="246" spans="2:37" ht="12.75" customHeight="1">
      <c r="B246" s="26">
        <f t="shared" si="13"/>
        <v>238</v>
      </c>
      <c r="C246" s="130" t="s">
        <v>316</v>
      </c>
      <c r="D246" s="125"/>
      <c r="E246" s="125"/>
      <c r="F246" s="126"/>
      <c r="G246" s="127"/>
      <c r="H246" s="68"/>
      <c r="I246" s="55">
        <f t="shared" si="15"/>
        <v>0</v>
      </c>
      <c r="J246" s="59"/>
      <c r="K246" s="4"/>
      <c r="L246" s="4"/>
      <c r="M246" s="4"/>
      <c r="N246" s="4"/>
      <c r="O246" s="4"/>
      <c r="P246" s="4"/>
      <c r="Q246" s="4"/>
      <c r="AK246" s="44">
        <f t="shared" si="12"/>
        <v>0</v>
      </c>
    </row>
    <row r="247" spans="2:37" ht="12.75" customHeight="1">
      <c r="B247" s="26">
        <f t="shared" si="13"/>
        <v>239</v>
      </c>
      <c r="C247" s="129" t="s">
        <v>317</v>
      </c>
      <c r="D247" s="125"/>
      <c r="E247" s="125">
        <f>TRUNC((7-0.5*2)/1+1.9)</f>
        <v>7</v>
      </c>
      <c r="F247" s="126">
        <v>5</v>
      </c>
      <c r="G247" s="127" t="s">
        <v>65</v>
      </c>
      <c r="H247" s="68">
        <v>10</v>
      </c>
      <c r="I247" s="55">
        <f t="shared" si="15"/>
        <v>73.009999999999991</v>
      </c>
      <c r="J247" s="59"/>
      <c r="L247" s="4"/>
      <c r="M247" s="4"/>
      <c r="N247" s="4"/>
      <c r="O247" s="4"/>
      <c r="P247" s="4"/>
      <c r="Q247" s="4"/>
      <c r="AK247" s="44">
        <f t="shared" si="12"/>
        <v>1.0429999999999999</v>
      </c>
    </row>
    <row r="248" spans="2:37" ht="12.75" customHeight="1">
      <c r="B248" s="26">
        <f t="shared" si="13"/>
        <v>240</v>
      </c>
      <c r="C248" s="130" t="s">
        <v>298</v>
      </c>
      <c r="D248" s="66"/>
      <c r="E248" s="66"/>
      <c r="F248" s="67"/>
      <c r="G248" s="127"/>
      <c r="H248" s="68"/>
      <c r="I248" s="55">
        <f t="shared" si="15"/>
        <v>0</v>
      </c>
      <c r="J248" s="59"/>
      <c r="K248" s="4"/>
      <c r="L248" s="4"/>
      <c r="M248" s="4"/>
      <c r="N248" s="4"/>
      <c r="O248" s="4"/>
      <c r="P248" s="4"/>
      <c r="Q248" s="4"/>
      <c r="AK248" s="44">
        <f t="shared" si="12"/>
        <v>0</v>
      </c>
    </row>
    <row r="249" spans="2:37" ht="12.75" customHeight="1">
      <c r="B249" s="26">
        <f t="shared" si="13"/>
        <v>241</v>
      </c>
      <c r="C249" s="129" t="s">
        <v>292</v>
      </c>
      <c r="D249" s="66"/>
      <c r="E249" s="125">
        <f>TRUNC((5.75-0.08*2)/1+1.9)</f>
        <v>7</v>
      </c>
      <c r="F249" s="67">
        <v>8</v>
      </c>
      <c r="G249" s="127" t="s">
        <v>65</v>
      </c>
      <c r="H249" s="68">
        <f>(29.25*0.35)+5.17-0.08+1.33</f>
        <v>16.657499999999999</v>
      </c>
      <c r="I249" s="55">
        <f t="shared" si="15"/>
        <v>311.32867499999998</v>
      </c>
      <c r="J249" s="59"/>
      <c r="K249" s="4"/>
      <c r="L249" s="4"/>
      <c r="M249" s="4"/>
      <c r="N249" s="4"/>
      <c r="O249" s="4"/>
      <c r="P249" s="4"/>
      <c r="Q249" s="4"/>
      <c r="AK249" s="44">
        <f t="shared" si="12"/>
        <v>2.67</v>
      </c>
    </row>
    <row r="250" spans="2:37" ht="12.75" customHeight="1">
      <c r="B250" s="26">
        <f t="shared" si="13"/>
        <v>242</v>
      </c>
      <c r="C250" s="129" t="s">
        <v>287</v>
      </c>
      <c r="D250" s="66"/>
      <c r="E250" s="125">
        <f>TRUNC((5.75-0.08*2)/1+1.9)</f>
        <v>7</v>
      </c>
      <c r="F250" s="67">
        <v>7</v>
      </c>
      <c r="G250" s="127" t="s">
        <v>57</v>
      </c>
      <c r="H250" s="68">
        <f>(29.25*0.35)*2</f>
        <v>20.474999999999998</v>
      </c>
      <c r="I250" s="55">
        <f t="shared" si="15"/>
        <v>292.95629999999994</v>
      </c>
      <c r="J250" s="59"/>
      <c r="K250" s="4"/>
      <c r="L250" s="4"/>
      <c r="M250" s="4"/>
      <c r="N250" s="4"/>
      <c r="O250" s="4"/>
      <c r="P250" s="4"/>
      <c r="Q250" s="4"/>
      <c r="AK250" s="44">
        <f t="shared" si="12"/>
        <v>2.044</v>
      </c>
    </row>
    <row r="251" spans="2:37" ht="12.75" customHeight="1">
      <c r="B251" s="26">
        <f t="shared" si="13"/>
        <v>243</v>
      </c>
      <c r="C251" s="129" t="s">
        <v>294</v>
      </c>
      <c r="D251" s="66"/>
      <c r="E251" s="125">
        <f>TRUNC((5.75-0.08*2)/0.83+1.9)</f>
        <v>8</v>
      </c>
      <c r="F251" s="67">
        <v>9</v>
      </c>
      <c r="G251" s="127" t="s">
        <v>57</v>
      </c>
      <c r="H251" s="68">
        <f>(20*0.35)*2</f>
        <v>14</v>
      </c>
      <c r="I251" s="55">
        <f t="shared" si="15"/>
        <v>380.8</v>
      </c>
      <c r="J251" s="59"/>
      <c r="K251" s="4"/>
      <c r="L251" s="4"/>
      <c r="M251" s="4"/>
      <c r="N251" s="4"/>
      <c r="O251" s="4"/>
      <c r="P251" s="4"/>
      <c r="Q251" s="4"/>
      <c r="AK251" s="44">
        <f t="shared" si="12"/>
        <v>3.4</v>
      </c>
    </row>
    <row r="252" spans="2:37" ht="12.75" customHeight="1">
      <c r="B252" s="26">
        <f t="shared" si="13"/>
        <v>244</v>
      </c>
      <c r="C252" s="129" t="s">
        <v>288</v>
      </c>
      <c r="D252" s="66"/>
      <c r="E252" s="125">
        <f>TRUNC((5.75-0.08*2)/1+1.9)</f>
        <v>7</v>
      </c>
      <c r="F252" s="67">
        <v>6</v>
      </c>
      <c r="G252" s="127" t="s">
        <v>65</v>
      </c>
      <c r="H252" s="68">
        <f>(23.17*0.35)-0.08+1</f>
        <v>9.0295000000000005</v>
      </c>
      <c r="I252" s="55">
        <f t="shared" si="15"/>
        <v>94.936163000000008</v>
      </c>
      <c r="J252" s="59"/>
      <c r="L252" s="4"/>
      <c r="M252" s="4"/>
      <c r="N252" s="4"/>
      <c r="O252" s="4"/>
      <c r="P252" s="4"/>
      <c r="Q252" s="4"/>
      <c r="AK252" s="44">
        <f t="shared" si="12"/>
        <v>1.502</v>
      </c>
    </row>
    <row r="253" spans="2:37" ht="12.75" customHeight="1">
      <c r="B253" s="26">
        <f t="shared" si="13"/>
        <v>245</v>
      </c>
      <c r="C253" s="130" t="s">
        <v>300</v>
      </c>
      <c r="D253" s="125"/>
      <c r="E253" s="125"/>
      <c r="F253" s="67"/>
      <c r="G253" s="127"/>
      <c r="H253" s="68"/>
      <c r="I253" s="55">
        <f t="shared" si="15"/>
        <v>0</v>
      </c>
      <c r="J253" s="59"/>
      <c r="K253" s="4"/>
      <c r="L253" s="4"/>
      <c r="M253" s="4"/>
      <c r="N253" s="4"/>
      <c r="O253" s="4"/>
      <c r="P253" s="4"/>
      <c r="Q253" s="4"/>
      <c r="AK253" s="44">
        <f t="shared" si="12"/>
        <v>0</v>
      </c>
    </row>
    <row r="254" spans="2:37" ht="12.75" customHeight="1">
      <c r="B254" s="26">
        <f t="shared" si="13"/>
        <v>246</v>
      </c>
      <c r="C254" s="129" t="s">
        <v>287</v>
      </c>
      <c r="D254" s="125"/>
      <c r="E254" s="125">
        <f>TRUNC((10-0.5*2)/1+1.9)</f>
        <v>10</v>
      </c>
      <c r="F254" s="67">
        <v>7</v>
      </c>
      <c r="G254" s="127" t="s">
        <v>65</v>
      </c>
      <c r="H254" s="68">
        <f>(29.25*0.25)+5.17-0.08+1.17</f>
        <v>13.5725</v>
      </c>
      <c r="I254" s="55">
        <f t="shared" si="15"/>
        <v>277.42189999999999</v>
      </c>
      <c r="J254" s="59"/>
      <c r="K254" s="4"/>
      <c r="L254" s="4"/>
      <c r="M254" s="4"/>
      <c r="N254" s="4"/>
      <c r="O254" s="4"/>
      <c r="P254" s="4"/>
      <c r="Q254" s="4"/>
      <c r="AK254" s="44">
        <f t="shared" si="12"/>
        <v>2.044</v>
      </c>
    </row>
    <row r="255" spans="2:37" ht="12.75" customHeight="1">
      <c r="B255" s="26">
        <f t="shared" si="13"/>
        <v>247</v>
      </c>
      <c r="C255" s="129" t="s">
        <v>288</v>
      </c>
      <c r="D255" s="125"/>
      <c r="E255" s="125">
        <f>TRUNC((10-0.5*2)/1+1.9)</f>
        <v>10</v>
      </c>
      <c r="F255" s="67">
        <v>6</v>
      </c>
      <c r="G255" s="127" t="s">
        <v>65</v>
      </c>
      <c r="H255" s="68">
        <f>(29.25*0.25)+8.5-0.08+1</f>
        <v>16.732500000000002</v>
      </c>
      <c r="I255" s="55">
        <f t="shared" si="15"/>
        <v>251.32215000000002</v>
      </c>
      <c r="J255" s="59"/>
      <c r="K255" s="4"/>
      <c r="L255" s="4"/>
      <c r="M255" s="4"/>
      <c r="N255" s="4"/>
      <c r="O255" s="4"/>
      <c r="P255" s="4"/>
      <c r="Q255" s="4"/>
      <c r="AK255" s="44">
        <f t="shared" si="12"/>
        <v>1.502</v>
      </c>
    </row>
    <row r="256" spans="2:37" ht="12.75" customHeight="1">
      <c r="B256" s="26">
        <f t="shared" si="13"/>
        <v>248</v>
      </c>
      <c r="C256" s="130" t="s">
        <v>301</v>
      </c>
      <c r="D256" s="66"/>
      <c r="E256" s="66"/>
      <c r="F256" s="67"/>
      <c r="G256" s="66"/>
      <c r="H256" s="68"/>
      <c r="I256" s="55">
        <f t="shared" si="15"/>
        <v>0</v>
      </c>
      <c r="J256" s="59"/>
      <c r="K256" s="4"/>
      <c r="L256" s="4"/>
      <c r="M256" s="4"/>
      <c r="N256" s="4"/>
      <c r="O256" s="4"/>
      <c r="P256" s="4"/>
      <c r="Q256" s="4"/>
      <c r="AK256" s="44">
        <f t="shared" si="12"/>
        <v>0</v>
      </c>
    </row>
    <row r="257" spans="2:37" ht="12.75" customHeight="1">
      <c r="B257" s="26">
        <f t="shared" si="13"/>
        <v>249</v>
      </c>
      <c r="C257" s="129" t="s">
        <v>289</v>
      </c>
      <c r="D257" s="66"/>
      <c r="E257" s="125">
        <f>TRUNC((7.25-0.42*2)/0.83+1.9)</f>
        <v>9</v>
      </c>
      <c r="F257" s="67">
        <v>8</v>
      </c>
      <c r="G257" s="127" t="s">
        <v>65</v>
      </c>
      <c r="H257" s="68">
        <f>(29.25*0.35)+5.17-0.08+1.17</f>
        <v>16.497499999999999</v>
      </c>
      <c r="I257" s="55">
        <f t="shared" si="15"/>
        <v>396.43492499999996</v>
      </c>
      <c r="J257" s="59"/>
      <c r="K257" s="4"/>
      <c r="L257" s="4"/>
      <c r="M257" s="4"/>
      <c r="N257" s="4"/>
      <c r="O257" s="4"/>
      <c r="P257" s="4"/>
      <c r="Q257" s="4"/>
      <c r="AK257" s="44">
        <f t="shared" si="12"/>
        <v>2.67</v>
      </c>
    </row>
    <row r="258" spans="2:37" ht="12.75" customHeight="1">
      <c r="B258" s="26">
        <f t="shared" si="13"/>
        <v>250</v>
      </c>
      <c r="C258" s="129" t="s">
        <v>288</v>
      </c>
      <c r="D258" s="66"/>
      <c r="E258" s="125">
        <f>TRUNC((7.25-0.5*2)/1+1.9)</f>
        <v>8</v>
      </c>
      <c r="F258" s="67">
        <v>6</v>
      </c>
      <c r="G258" s="127" t="s">
        <v>65</v>
      </c>
      <c r="H258" s="68">
        <f>(29.25*0.35)+8.5-0.08+1</f>
        <v>19.657499999999999</v>
      </c>
      <c r="I258" s="55">
        <f t="shared" si="15"/>
        <v>236.20451999999997</v>
      </c>
      <c r="J258" s="59"/>
      <c r="K258" s="4"/>
      <c r="L258" s="4"/>
      <c r="M258" s="4"/>
      <c r="N258" s="4"/>
      <c r="O258" s="4"/>
      <c r="P258" s="4"/>
      <c r="Q258" s="4"/>
      <c r="AK258" s="44">
        <f t="shared" si="12"/>
        <v>1.502</v>
      </c>
    </row>
    <row r="259" spans="2:37" ht="12.75" customHeight="1">
      <c r="B259" s="26">
        <f t="shared" si="13"/>
        <v>251</v>
      </c>
      <c r="C259" s="129" t="s">
        <v>290</v>
      </c>
      <c r="D259" s="66"/>
      <c r="E259" s="125">
        <f>TRUNC((5-0.5*2)/1+1.9)</f>
        <v>5</v>
      </c>
      <c r="F259" s="67">
        <v>5</v>
      </c>
      <c r="G259" s="127" t="s">
        <v>65</v>
      </c>
      <c r="H259" s="68">
        <f>(17.67*0.35)+-0.08+0.83</f>
        <v>6.9344999999999999</v>
      </c>
      <c r="I259" s="55">
        <f t="shared" si="15"/>
        <v>36.163417499999994</v>
      </c>
      <c r="J259" s="59"/>
      <c r="K259" s="4"/>
      <c r="L259" s="4"/>
      <c r="M259" s="4"/>
      <c r="N259" s="4"/>
      <c r="O259" s="4"/>
      <c r="P259" s="4"/>
      <c r="Q259" s="4"/>
      <c r="AK259" s="44">
        <f t="shared" si="12"/>
        <v>1.0429999999999999</v>
      </c>
    </row>
    <row r="260" spans="2:37" ht="12.75" customHeight="1">
      <c r="B260" s="26">
        <f t="shared" si="13"/>
        <v>252</v>
      </c>
      <c r="C260" s="129" t="s">
        <v>293</v>
      </c>
      <c r="D260" s="66"/>
      <c r="E260" s="125">
        <f>TRUNC((5-0.5*2)/1+1.9)</f>
        <v>5</v>
      </c>
      <c r="F260" s="67">
        <v>9</v>
      </c>
      <c r="G260" s="127" t="s">
        <v>57</v>
      </c>
      <c r="H260" s="68">
        <f>(29.25*0.35)*2</f>
        <v>20.474999999999998</v>
      </c>
      <c r="I260" s="55">
        <f t="shared" si="15"/>
        <v>348.07499999999999</v>
      </c>
      <c r="J260" s="59"/>
      <c r="K260" s="4"/>
      <c r="M260" s="4"/>
      <c r="N260" s="4"/>
      <c r="O260" s="4"/>
      <c r="P260" s="4"/>
      <c r="Q260" s="4"/>
      <c r="AK260" s="44">
        <f t="shared" si="12"/>
        <v>3.4</v>
      </c>
    </row>
    <row r="261" spans="2:37" ht="12.75" customHeight="1">
      <c r="B261" s="26">
        <f t="shared" si="13"/>
        <v>253</v>
      </c>
      <c r="C261" s="129" t="s">
        <v>293</v>
      </c>
      <c r="D261" s="66"/>
      <c r="E261" s="125">
        <f>TRUNC((5-0.5*2)/1+1.9)</f>
        <v>5</v>
      </c>
      <c r="F261" s="67">
        <v>9</v>
      </c>
      <c r="G261" s="127" t="s">
        <v>57</v>
      </c>
      <c r="H261" s="68">
        <f>(29.25*0.35)*2</f>
        <v>20.474999999999998</v>
      </c>
      <c r="I261" s="55">
        <f t="shared" si="15"/>
        <v>348.07499999999999</v>
      </c>
      <c r="J261" s="59"/>
      <c r="K261" s="4"/>
      <c r="L261" s="4"/>
      <c r="M261" s="4"/>
      <c r="N261" s="4"/>
      <c r="O261" s="4"/>
      <c r="P261" s="4"/>
      <c r="Q261" s="4"/>
      <c r="AK261" s="44">
        <f t="shared" si="12"/>
        <v>3.4</v>
      </c>
    </row>
    <row r="262" spans="2:37" ht="12.75" customHeight="1">
      <c r="B262" s="26">
        <f t="shared" si="13"/>
        <v>254</v>
      </c>
      <c r="C262" s="129" t="s">
        <v>289</v>
      </c>
      <c r="D262" s="66"/>
      <c r="E262" s="125">
        <f>TRUNC((5-0.42*2)/0.83+1.9)</f>
        <v>6</v>
      </c>
      <c r="F262" s="67">
        <v>8</v>
      </c>
      <c r="G262" s="127" t="s">
        <v>57</v>
      </c>
      <c r="H262" s="68">
        <f>(23.17*0.35)*2</f>
        <v>16.219000000000001</v>
      </c>
      <c r="I262" s="55">
        <f t="shared" si="15"/>
        <v>259.82837999999998</v>
      </c>
      <c r="J262" s="59"/>
      <c r="K262" s="4"/>
      <c r="L262" s="4"/>
      <c r="M262" s="4"/>
      <c r="N262" s="4"/>
      <c r="O262" s="4"/>
      <c r="P262" s="4"/>
      <c r="Q262" s="4"/>
      <c r="AK262" s="44">
        <f t="shared" si="12"/>
        <v>2.67</v>
      </c>
    </row>
    <row r="263" spans="2:37" ht="12.75" customHeight="1">
      <c r="B263" s="26">
        <f t="shared" si="13"/>
        <v>255</v>
      </c>
      <c r="C263" s="129" t="s">
        <v>290</v>
      </c>
      <c r="D263" s="66"/>
      <c r="E263" s="125">
        <f>TRUNC((5-0.5*2)/1+1.9)</f>
        <v>5</v>
      </c>
      <c r="F263" s="67">
        <v>5</v>
      </c>
      <c r="G263" s="127" t="s">
        <v>65</v>
      </c>
      <c r="H263" s="68">
        <f>(23.17*0.35)-0.08+0.83</f>
        <v>8.8595000000000006</v>
      </c>
      <c r="I263" s="55">
        <f t="shared" si="15"/>
        <v>46.202292500000006</v>
      </c>
      <c r="J263" s="59"/>
      <c r="L263" s="4"/>
      <c r="M263" s="4"/>
      <c r="N263" s="4"/>
      <c r="O263" s="4"/>
      <c r="P263" s="4"/>
      <c r="Q263" s="4"/>
      <c r="AK263" s="44">
        <f t="shared" si="12"/>
        <v>1.0429999999999999</v>
      </c>
    </row>
    <row r="264" spans="2:37" ht="12.75" customHeight="1">
      <c r="B264" s="26">
        <f t="shared" si="13"/>
        <v>256</v>
      </c>
      <c r="C264" s="130" t="s">
        <v>318</v>
      </c>
      <c r="D264" s="125"/>
      <c r="E264" s="125"/>
      <c r="F264" s="67"/>
      <c r="G264" s="127"/>
      <c r="H264" s="68"/>
      <c r="I264" s="55">
        <f t="shared" si="15"/>
        <v>0</v>
      </c>
      <c r="J264" s="59"/>
      <c r="K264" s="4"/>
      <c r="L264" s="4"/>
      <c r="M264" s="4"/>
      <c r="N264" s="4"/>
      <c r="O264" s="4"/>
      <c r="P264" s="4"/>
      <c r="Q264" s="4"/>
      <c r="AK264" s="44">
        <f t="shared" si="12"/>
        <v>0</v>
      </c>
    </row>
    <row r="265" spans="2:37" ht="12.75" customHeight="1">
      <c r="B265" s="26">
        <f t="shared" si="13"/>
        <v>257</v>
      </c>
      <c r="C265" s="129" t="s">
        <v>290</v>
      </c>
      <c r="D265" s="125"/>
      <c r="E265" s="125">
        <f>TRUNC((14.25-0.5*2)/1+1.9)</f>
        <v>15</v>
      </c>
      <c r="F265" s="67">
        <v>5</v>
      </c>
      <c r="G265" s="127" t="s">
        <v>65</v>
      </c>
      <c r="H265" s="68">
        <f>(17.83*0.25)-0.08+0.83</f>
        <v>5.2074999999999996</v>
      </c>
      <c r="I265" s="55">
        <f t="shared" si="15"/>
        <v>81.47133749999999</v>
      </c>
      <c r="J265" s="59"/>
      <c r="K265" s="4"/>
      <c r="L265" s="4"/>
      <c r="M265" s="4"/>
      <c r="N265" s="4"/>
      <c r="O265" s="4"/>
      <c r="P265" s="4"/>
      <c r="Q265" s="4"/>
      <c r="AK265" s="44">
        <f t="shared" ref="AK265:AK328" si="17">IF(F265="",0,VLOOKUP(F265,$CI$16:$CJ$358,2,FALSE))</f>
        <v>1.0429999999999999</v>
      </c>
    </row>
    <row r="266" spans="2:37" ht="12.75" customHeight="1">
      <c r="B266" s="26">
        <f t="shared" ref="B266:B329" si="18">IF(B265="SL.NO",1,B265+1)</f>
        <v>258</v>
      </c>
      <c r="C266" s="129" t="s">
        <v>288</v>
      </c>
      <c r="D266" s="125"/>
      <c r="E266" s="125">
        <f>TRUNC((14.25-0.5*2)/1+1.9)</f>
        <v>15</v>
      </c>
      <c r="F266" s="67">
        <v>6</v>
      </c>
      <c r="G266" s="127" t="s">
        <v>57</v>
      </c>
      <c r="H266" s="68">
        <f>(29.25*0.25)*2</f>
        <v>14.625</v>
      </c>
      <c r="I266" s="55">
        <f t="shared" si="15"/>
        <v>329.50125000000003</v>
      </c>
      <c r="J266" s="59"/>
      <c r="K266" s="4"/>
      <c r="L266" s="4"/>
      <c r="M266" s="4"/>
      <c r="N266" s="4"/>
      <c r="O266" s="4"/>
      <c r="P266" s="4"/>
      <c r="Q266" s="4"/>
      <c r="AK266" s="44">
        <f t="shared" si="17"/>
        <v>1.502</v>
      </c>
    </row>
    <row r="267" spans="2:37" ht="12.75" customHeight="1">
      <c r="B267" s="26">
        <f t="shared" si="18"/>
        <v>259</v>
      </c>
      <c r="C267" s="129" t="s">
        <v>288</v>
      </c>
      <c r="D267" s="66"/>
      <c r="E267" s="125">
        <f>TRUNC((14.75-0.5*2)/1+1.9)</f>
        <v>15</v>
      </c>
      <c r="F267" s="67">
        <v>6</v>
      </c>
      <c r="G267" s="127" t="s">
        <v>57</v>
      </c>
      <c r="H267" s="68">
        <f>(29.25*0.25)*2</f>
        <v>14.625</v>
      </c>
      <c r="I267" s="55">
        <f t="shared" si="15"/>
        <v>329.50125000000003</v>
      </c>
      <c r="J267" s="59"/>
      <c r="K267" s="4"/>
      <c r="L267" s="4"/>
      <c r="M267" s="4"/>
      <c r="N267" s="4"/>
      <c r="O267" s="4"/>
      <c r="P267" s="4"/>
      <c r="Q267" s="4"/>
      <c r="AK267" s="44">
        <f t="shared" si="17"/>
        <v>1.502</v>
      </c>
    </row>
    <row r="268" spans="2:37" ht="12.75" customHeight="1">
      <c r="B268" s="26">
        <f t="shared" si="18"/>
        <v>260</v>
      </c>
      <c r="C268" s="129" t="s">
        <v>288</v>
      </c>
      <c r="D268" s="66"/>
      <c r="E268" s="125">
        <f>TRUNC((14.75-0.5*2)/1+1.9)</f>
        <v>15</v>
      </c>
      <c r="F268" s="67">
        <v>6</v>
      </c>
      <c r="G268" s="127" t="s">
        <v>57</v>
      </c>
      <c r="H268" s="68">
        <f>(19.67*0.25)*2</f>
        <v>9.8350000000000009</v>
      </c>
      <c r="I268" s="55">
        <f t="shared" si="15"/>
        <v>221.58255000000003</v>
      </c>
      <c r="J268" s="59"/>
      <c r="L268" s="4"/>
      <c r="M268" s="4"/>
      <c r="N268" s="4"/>
      <c r="O268" s="4"/>
      <c r="P268" s="4"/>
      <c r="Q268" s="4"/>
      <c r="AK268" s="44">
        <f t="shared" si="17"/>
        <v>1.502</v>
      </c>
    </row>
    <row r="269" spans="2:37" ht="12.75" customHeight="1">
      <c r="B269" s="26">
        <f t="shared" si="18"/>
        <v>261</v>
      </c>
      <c r="C269" s="129" t="s">
        <v>288</v>
      </c>
      <c r="D269" s="66"/>
      <c r="E269" s="125">
        <f>TRUNC((15.75-0.5*2)/1+1.9)</f>
        <v>16</v>
      </c>
      <c r="F269" s="67">
        <v>6</v>
      </c>
      <c r="G269" s="127" t="s">
        <v>57</v>
      </c>
      <c r="H269" s="68">
        <f>(19.67*0.25)*2</f>
        <v>9.8350000000000009</v>
      </c>
      <c r="I269" s="55">
        <f t="shared" si="15"/>
        <v>236.35472000000001</v>
      </c>
      <c r="J269" s="59"/>
      <c r="K269" s="4"/>
      <c r="L269" s="4"/>
      <c r="M269" s="4"/>
      <c r="N269" s="4"/>
      <c r="O269" s="4"/>
      <c r="P269" s="4"/>
      <c r="Q269" s="4"/>
      <c r="AK269" s="44">
        <f t="shared" si="17"/>
        <v>1.502</v>
      </c>
    </row>
    <row r="270" spans="2:37" ht="12.75" customHeight="1">
      <c r="B270" s="26">
        <f t="shared" si="18"/>
        <v>262</v>
      </c>
      <c r="C270" s="129" t="s">
        <v>290</v>
      </c>
      <c r="D270" s="66"/>
      <c r="E270" s="125">
        <f>TRUNC((15.75-0.5*2)/1+1.9)</f>
        <v>16</v>
      </c>
      <c r="F270" s="67">
        <v>5</v>
      </c>
      <c r="G270" s="127" t="s">
        <v>65</v>
      </c>
      <c r="H270" s="68">
        <f>(23.25*0.25)-0.08+0.83</f>
        <v>6.5625</v>
      </c>
      <c r="I270" s="55">
        <f t="shared" si="15"/>
        <v>109.51499999999999</v>
      </c>
      <c r="J270" s="59"/>
      <c r="K270" s="4"/>
      <c r="L270" s="4"/>
      <c r="M270" s="4"/>
      <c r="N270" s="4"/>
      <c r="O270" s="4"/>
      <c r="P270" s="4"/>
      <c r="Q270" s="4"/>
      <c r="AK270" s="44">
        <f t="shared" si="17"/>
        <v>1.0429999999999999</v>
      </c>
    </row>
    <row r="271" spans="2:37" ht="12.75" customHeight="1">
      <c r="B271" s="26">
        <f t="shared" si="18"/>
        <v>263</v>
      </c>
      <c r="C271" s="130" t="s">
        <v>319</v>
      </c>
      <c r="D271" s="66"/>
      <c r="E271" s="66"/>
      <c r="F271" s="67"/>
      <c r="G271" s="66"/>
      <c r="H271" s="68"/>
      <c r="I271" s="55">
        <f t="shared" si="15"/>
        <v>0</v>
      </c>
      <c r="J271" s="59"/>
      <c r="K271" s="4"/>
      <c r="L271" s="4"/>
      <c r="M271" s="4"/>
      <c r="N271" s="4"/>
      <c r="O271" s="4"/>
      <c r="P271" s="4"/>
      <c r="Q271" s="4"/>
      <c r="AK271" s="44">
        <f t="shared" si="17"/>
        <v>0</v>
      </c>
    </row>
    <row r="272" spans="2:37" ht="12.75" customHeight="1">
      <c r="B272" s="26">
        <f t="shared" si="18"/>
        <v>264</v>
      </c>
      <c r="C272" s="129" t="s">
        <v>320</v>
      </c>
      <c r="D272" s="66"/>
      <c r="E272" s="66">
        <f t="shared" ref="E272:E281" si="19">TRUNC((7-0.5*2)/1+1.9)</f>
        <v>7</v>
      </c>
      <c r="F272" s="67">
        <v>5</v>
      </c>
      <c r="G272" s="127" t="s">
        <v>65</v>
      </c>
      <c r="H272" s="68">
        <f>(17*0.35)-0.08+0.83</f>
        <v>6.6999999999999993</v>
      </c>
      <c r="I272" s="55">
        <f t="shared" ref="I272:I336" si="20">IF(D272="",AK272*H272*E272,AK272*H272*E272*D272)</f>
        <v>48.916699999999992</v>
      </c>
      <c r="J272" s="59"/>
      <c r="K272" s="4"/>
      <c r="L272" s="4"/>
      <c r="M272" s="4"/>
      <c r="N272" s="4"/>
      <c r="O272" s="4"/>
      <c r="P272" s="4"/>
      <c r="Q272" s="4"/>
      <c r="AK272" s="44">
        <f t="shared" si="17"/>
        <v>1.0429999999999999</v>
      </c>
    </row>
    <row r="273" spans="2:37" ht="12.75" customHeight="1">
      <c r="B273" s="26">
        <f t="shared" si="18"/>
        <v>265</v>
      </c>
      <c r="C273" s="129" t="s">
        <v>293</v>
      </c>
      <c r="D273" s="66"/>
      <c r="E273" s="66">
        <f t="shared" si="19"/>
        <v>7</v>
      </c>
      <c r="F273" s="67">
        <v>9</v>
      </c>
      <c r="G273" s="127" t="s">
        <v>57</v>
      </c>
      <c r="H273" s="68">
        <f>(29.25*0.35)*2</f>
        <v>20.474999999999998</v>
      </c>
      <c r="I273" s="55">
        <f t="shared" si="20"/>
        <v>487.30499999999995</v>
      </c>
      <c r="J273" s="59"/>
      <c r="K273" s="4"/>
      <c r="L273" s="4"/>
      <c r="M273" s="4"/>
      <c r="N273" s="4"/>
      <c r="O273" s="4"/>
      <c r="P273" s="4"/>
      <c r="Q273" s="4"/>
      <c r="AK273" s="44">
        <f t="shared" si="17"/>
        <v>3.4</v>
      </c>
    </row>
    <row r="274" spans="2:37" ht="12.75" customHeight="1">
      <c r="B274" s="26">
        <f t="shared" si="18"/>
        <v>266</v>
      </c>
      <c r="C274" s="129" t="s">
        <v>288</v>
      </c>
      <c r="D274" s="66"/>
      <c r="E274" s="66">
        <f t="shared" si="19"/>
        <v>7</v>
      </c>
      <c r="F274" s="67">
        <v>6</v>
      </c>
      <c r="G274" s="127" t="s">
        <v>57</v>
      </c>
      <c r="H274" s="68">
        <f>(29.25*0.35)*2</f>
        <v>20.474999999999998</v>
      </c>
      <c r="I274" s="55">
        <f t="shared" si="20"/>
        <v>215.27414999999999</v>
      </c>
      <c r="J274" s="59"/>
      <c r="K274" s="4"/>
      <c r="L274" s="4"/>
      <c r="M274" s="4"/>
      <c r="N274" s="4"/>
      <c r="O274" s="4"/>
      <c r="P274" s="4"/>
      <c r="Q274" s="4"/>
      <c r="AK274" s="44">
        <f t="shared" si="17"/>
        <v>1.502</v>
      </c>
    </row>
    <row r="275" spans="2:37" ht="12.75" customHeight="1">
      <c r="B275" s="26">
        <f t="shared" si="18"/>
        <v>267</v>
      </c>
      <c r="C275" s="129" t="s">
        <v>290</v>
      </c>
      <c r="D275" s="66"/>
      <c r="E275" s="66">
        <f t="shared" si="19"/>
        <v>7</v>
      </c>
      <c r="F275" s="67">
        <v>5</v>
      </c>
      <c r="G275" s="127" t="s">
        <v>57</v>
      </c>
      <c r="H275" s="68">
        <f>(20*0.35)*2</f>
        <v>14</v>
      </c>
      <c r="I275" s="55">
        <f t="shared" si="20"/>
        <v>102.21399999999998</v>
      </c>
      <c r="J275" s="59"/>
      <c r="K275" s="4"/>
      <c r="L275" s="4"/>
      <c r="M275" s="4"/>
      <c r="N275" s="4"/>
      <c r="O275" s="4"/>
      <c r="P275" s="4"/>
      <c r="Q275" s="4"/>
      <c r="AK275" s="44">
        <f t="shared" si="17"/>
        <v>1.0429999999999999</v>
      </c>
    </row>
    <row r="276" spans="2:37" ht="12.75" customHeight="1">
      <c r="B276" s="26">
        <f t="shared" si="18"/>
        <v>268</v>
      </c>
      <c r="C276" s="129" t="s">
        <v>292</v>
      </c>
      <c r="D276" s="66"/>
      <c r="E276" s="66">
        <f t="shared" si="19"/>
        <v>7</v>
      </c>
      <c r="F276" s="67">
        <v>8</v>
      </c>
      <c r="G276" s="127" t="s">
        <v>57</v>
      </c>
      <c r="H276" s="68">
        <f>(20*0.35)*2</f>
        <v>14</v>
      </c>
      <c r="I276" s="55">
        <f t="shared" si="20"/>
        <v>261.65999999999997</v>
      </c>
      <c r="J276" s="59"/>
      <c r="K276" s="4"/>
      <c r="M276" s="4"/>
      <c r="N276" s="4"/>
      <c r="O276" s="4"/>
      <c r="P276" s="4"/>
      <c r="Q276" s="4"/>
      <c r="AK276" s="44">
        <f t="shared" si="17"/>
        <v>2.67</v>
      </c>
    </row>
    <row r="277" spans="2:37" ht="12.75" customHeight="1">
      <c r="B277" s="26">
        <f t="shared" si="18"/>
        <v>269</v>
      </c>
      <c r="C277" s="129" t="s">
        <v>290</v>
      </c>
      <c r="D277" s="66"/>
      <c r="E277" s="66">
        <f t="shared" si="19"/>
        <v>7</v>
      </c>
      <c r="F277" s="67">
        <v>5</v>
      </c>
      <c r="G277" s="127" t="s">
        <v>65</v>
      </c>
      <c r="H277" s="68">
        <f>(23.17*0.35)-0.08+0.83</f>
        <v>8.8595000000000006</v>
      </c>
      <c r="I277" s="55">
        <f t="shared" si="20"/>
        <v>64.683209500000004</v>
      </c>
      <c r="J277" s="59"/>
      <c r="K277" s="4"/>
      <c r="L277" s="4"/>
      <c r="M277" s="4"/>
      <c r="N277" s="4"/>
      <c r="O277" s="4"/>
      <c r="P277" s="4"/>
      <c r="Q277" s="4"/>
      <c r="AK277" s="44">
        <f t="shared" si="17"/>
        <v>1.0429999999999999</v>
      </c>
    </row>
    <row r="278" spans="2:37" ht="12.75" customHeight="1">
      <c r="B278" s="26">
        <f t="shared" si="18"/>
        <v>270</v>
      </c>
      <c r="C278" s="129" t="s">
        <v>321</v>
      </c>
      <c r="D278" s="66"/>
      <c r="E278" s="66">
        <f t="shared" si="19"/>
        <v>7</v>
      </c>
      <c r="F278" s="67">
        <v>5</v>
      </c>
      <c r="G278" s="127" t="s">
        <v>65</v>
      </c>
      <c r="H278" s="68">
        <f>(17*0.35)-0.08+0.83</f>
        <v>6.6999999999999993</v>
      </c>
      <c r="I278" s="55">
        <f t="shared" si="20"/>
        <v>48.916699999999992</v>
      </c>
      <c r="J278" s="59"/>
      <c r="K278" s="4"/>
      <c r="L278" s="4"/>
      <c r="M278" s="4"/>
      <c r="N278" s="4"/>
      <c r="O278" s="4"/>
      <c r="P278" s="4"/>
      <c r="Q278" s="4"/>
      <c r="AK278" s="44">
        <f t="shared" si="17"/>
        <v>1.0429999999999999</v>
      </c>
    </row>
    <row r="279" spans="2:37" ht="12.75" customHeight="1">
      <c r="B279" s="26">
        <f t="shared" si="18"/>
        <v>271</v>
      </c>
      <c r="C279" s="129" t="s">
        <v>293</v>
      </c>
      <c r="D279" s="66"/>
      <c r="E279" s="66">
        <f t="shared" si="19"/>
        <v>7</v>
      </c>
      <c r="F279" s="67">
        <v>9</v>
      </c>
      <c r="G279" s="127" t="s">
        <v>57</v>
      </c>
      <c r="H279" s="68">
        <f>(29.25*0.35)*2</f>
        <v>20.474999999999998</v>
      </c>
      <c r="I279" s="55">
        <f t="shared" si="20"/>
        <v>487.30499999999995</v>
      </c>
      <c r="J279" s="59"/>
      <c r="L279" s="4"/>
      <c r="M279" s="4"/>
      <c r="N279" s="4"/>
      <c r="O279" s="4"/>
      <c r="P279" s="4"/>
      <c r="Q279" s="4"/>
      <c r="AK279" s="44">
        <f t="shared" si="17"/>
        <v>3.4</v>
      </c>
    </row>
    <row r="280" spans="2:37" ht="12.75" customHeight="1">
      <c r="B280" s="26">
        <f t="shared" si="18"/>
        <v>272</v>
      </c>
      <c r="C280" s="129" t="s">
        <v>287</v>
      </c>
      <c r="D280" s="66"/>
      <c r="E280" s="66">
        <f t="shared" si="19"/>
        <v>7</v>
      </c>
      <c r="F280" s="67">
        <v>7</v>
      </c>
      <c r="G280" s="127" t="s">
        <v>57</v>
      </c>
      <c r="H280" s="68">
        <f>(19*0.35)*2</f>
        <v>13.299999999999999</v>
      </c>
      <c r="I280" s="55">
        <f t="shared" si="20"/>
        <v>190.29639999999998</v>
      </c>
      <c r="J280" s="59"/>
      <c r="K280" s="4"/>
      <c r="L280" s="4"/>
      <c r="M280" s="4"/>
      <c r="N280" s="4"/>
      <c r="O280" s="4"/>
      <c r="P280" s="4"/>
      <c r="Q280" s="4"/>
      <c r="AK280" s="44">
        <f t="shared" si="17"/>
        <v>2.044</v>
      </c>
    </row>
    <row r="281" spans="2:37" ht="12.75" customHeight="1">
      <c r="B281" s="26">
        <f t="shared" si="18"/>
        <v>273</v>
      </c>
      <c r="C281" s="129" t="s">
        <v>288</v>
      </c>
      <c r="D281" s="66"/>
      <c r="E281" s="66">
        <f t="shared" si="19"/>
        <v>7</v>
      </c>
      <c r="F281" s="67">
        <v>6</v>
      </c>
      <c r="G281" s="127" t="s">
        <v>65</v>
      </c>
      <c r="H281" s="68">
        <f>(20*0.35)-0.08+0.83</f>
        <v>7.75</v>
      </c>
      <c r="I281" s="55">
        <f t="shared" si="20"/>
        <v>81.483499999999992</v>
      </c>
      <c r="J281" s="59"/>
      <c r="K281" s="4"/>
      <c r="L281" s="4"/>
      <c r="M281" s="4"/>
      <c r="N281" s="4"/>
      <c r="O281" s="4"/>
      <c r="P281" s="4"/>
      <c r="Q281" s="4"/>
      <c r="AK281" s="44">
        <f t="shared" si="17"/>
        <v>1.502</v>
      </c>
    </row>
    <row r="282" spans="2:37" ht="12.75" customHeight="1">
      <c r="B282" s="26">
        <f t="shared" si="18"/>
        <v>274</v>
      </c>
      <c r="C282" s="130" t="s">
        <v>322</v>
      </c>
      <c r="D282" s="66"/>
      <c r="E282" s="66"/>
      <c r="F282" s="67"/>
      <c r="G282" s="66"/>
      <c r="H282" s="68"/>
      <c r="I282" s="55">
        <f t="shared" si="20"/>
        <v>0</v>
      </c>
      <c r="J282" s="59"/>
      <c r="L282" s="4"/>
      <c r="M282" s="4"/>
      <c r="N282" s="4"/>
      <c r="O282" s="4"/>
      <c r="P282" s="4"/>
      <c r="Q282" s="4"/>
      <c r="AK282" s="44">
        <f t="shared" si="17"/>
        <v>0</v>
      </c>
    </row>
    <row r="283" spans="2:37" ht="12.75" customHeight="1">
      <c r="B283" s="26">
        <f t="shared" si="18"/>
        <v>275</v>
      </c>
      <c r="C283" s="129" t="s">
        <v>290</v>
      </c>
      <c r="D283" s="66"/>
      <c r="E283" s="66">
        <f>TRUNC((14-0.5*2)/1+1.9)</f>
        <v>14</v>
      </c>
      <c r="F283" s="67">
        <v>5</v>
      </c>
      <c r="G283" s="127" t="s">
        <v>65</v>
      </c>
      <c r="H283" s="68">
        <f>(17.83*0.25)-0.08+0.83</f>
        <v>5.2074999999999996</v>
      </c>
      <c r="I283" s="55">
        <f t="shared" si="20"/>
        <v>76.039914999999993</v>
      </c>
      <c r="J283" s="59"/>
      <c r="K283" s="4"/>
      <c r="L283" s="4"/>
      <c r="M283" s="4"/>
      <c r="N283" s="4"/>
      <c r="O283" s="4"/>
      <c r="P283" s="4"/>
      <c r="Q283" s="4"/>
      <c r="AK283" s="44">
        <f t="shared" si="17"/>
        <v>1.0429999999999999</v>
      </c>
    </row>
    <row r="284" spans="2:37" ht="12.75" customHeight="1">
      <c r="B284" s="26">
        <f t="shared" si="18"/>
        <v>276</v>
      </c>
      <c r="C284" s="129" t="s">
        <v>288</v>
      </c>
      <c r="D284" s="66"/>
      <c r="E284" s="66">
        <f>TRUNC((14-0.5*2)/1+1.9)</f>
        <v>14</v>
      </c>
      <c r="F284" s="67">
        <v>6</v>
      </c>
      <c r="G284" s="127" t="s">
        <v>57</v>
      </c>
      <c r="H284" s="68">
        <f>(29.25*0.25)*2</f>
        <v>14.625</v>
      </c>
      <c r="I284" s="55">
        <f t="shared" si="20"/>
        <v>307.53450000000004</v>
      </c>
      <c r="J284" s="59"/>
      <c r="K284" s="4"/>
      <c r="L284" s="4"/>
      <c r="M284" s="4"/>
      <c r="N284" s="4"/>
      <c r="O284" s="4"/>
      <c r="P284" s="4"/>
      <c r="Q284" s="4"/>
      <c r="AK284" s="44">
        <f t="shared" si="17"/>
        <v>1.502</v>
      </c>
    </row>
    <row r="285" spans="2:37" ht="12.75" customHeight="1">
      <c r="B285" s="26">
        <f t="shared" si="18"/>
        <v>277</v>
      </c>
      <c r="C285" s="129" t="s">
        <v>288</v>
      </c>
      <c r="D285" s="66"/>
      <c r="E285" s="66">
        <f>TRUNC((14-0.5*2)/1+1.9)</f>
        <v>14</v>
      </c>
      <c r="F285" s="67">
        <v>6</v>
      </c>
      <c r="G285" s="127" t="s">
        <v>57</v>
      </c>
      <c r="H285" s="68">
        <f>(29.25*0.25)*2</f>
        <v>14.625</v>
      </c>
      <c r="I285" s="55">
        <f t="shared" si="20"/>
        <v>307.53450000000004</v>
      </c>
      <c r="J285" s="59"/>
      <c r="K285" s="4"/>
      <c r="L285" s="4"/>
      <c r="M285" s="4"/>
      <c r="N285" s="4"/>
      <c r="O285" s="4"/>
      <c r="P285" s="4"/>
      <c r="Q285" s="4"/>
      <c r="AK285" s="44">
        <f t="shared" si="17"/>
        <v>1.502</v>
      </c>
    </row>
    <row r="286" spans="2:37" ht="12.75" customHeight="1">
      <c r="B286" s="26">
        <f t="shared" si="18"/>
        <v>278</v>
      </c>
      <c r="C286" s="129" t="s">
        <v>290</v>
      </c>
      <c r="D286" s="66"/>
      <c r="E286" s="66">
        <f>TRUNC((14-0.5*2)/1+1.9)</f>
        <v>14</v>
      </c>
      <c r="F286" s="67">
        <v>5</v>
      </c>
      <c r="G286" s="127" t="s">
        <v>57</v>
      </c>
      <c r="H286" s="68">
        <f>(29.25*0.25)*2</f>
        <v>14.625</v>
      </c>
      <c r="I286" s="55">
        <f t="shared" si="20"/>
        <v>213.55425</v>
      </c>
      <c r="J286" s="59"/>
      <c r="K286" s="4"/>
      <c r="L286" s="4"/>
      <c r="M286" s="4"/>
      <c r="N286" s="4"/>
      <c r="O286" s="4"/>
      <c r="P286" s="4"/>
      <c r="Q286" s="4"/>
      <c r="AK286" s="44">
        <f t="shared" si="17"/>
        <v>1.0429999999999999</v>
      </c>
    </row>
    <row r="287" spans="2:37" ht="12.75" customHeight="1">
      <c r="B287" s="26">
        <f t="shared" si="18"/>
        <v>279</v>
      </c>
      <c r="C287" s="129" t="s">
        <v>290</v>
      </c>
      <c r="D287" s="66"/>
      <c r="E287" s="66">
        <f>TRUNC((14-0.5*2)/1+1.9)</f>
        <v>14</v>
      </c>
      <c r="F287" s="67">
        <v>5</v>
      </c>
      <c r="G287" s="127" t="s">
        <v>65</v>
      </c>
      <c r="H287" s="68">
        <f>(17.58*0.25)-0.08+0.83</f>
        <v>5.1449999999999996</v>
      </c>
      <c r="I287" s="55">
        <f t="shared" si="20"/>
        <v>75.127289999999988</v>
      </c>
      <c r="J287" s="59"/>
      <c r="K287" s="4"/>
      <c r="M287" s="4"/>
      <c r="N287" s="4"/>
      <c r="O287" s="4"/>
      <c r="P287" s="4"/>
      <c r="Q287" s="4"/>
      <c r="AK287" s="44">
        <f t="shared" si="17"/>
        <v>1.0429999999999999</v>
      </c>
    </row>
    <row r="288" spans="2:37" ht="12.75" customHeight="1">
      <c r="B288" s="26">
        <f t="shared" si="18"/>
        <v>280</v>
      </c>
      <c r="C288" s="129" t="s">
        <v>290</v>
      </c>
      <c r="D288" s="66"/>
      <c r="E288" s="66">
        <f t="shared" ref="E288:E289" si="21">TRUNC((14-0.5*2)/1+1.9)</f>
        <v>14</v>
      </c>
      <c r="F288" s="67">
        <v>5</v>
      </c>
      <c r="G288" s="127" t="s">
        <v>65</v>
      </c>
      <c r="H288" s="68">
        <f>(23.5*0.25)-0.08+0.83</f>
        <v>6.625</v>
      </c>
      <c r="I288" s="55">
        <f t="shared" si="20"/>
        <v>96.738249999999994</v>
      </c>
      <c r="J288" s="59"/>
      <c r="K288" s="4"/>
      <c r="L288" s="4"/>
      <c r="M288" s="4"/>
      <c r="N288" s="4"/>
      <c r="O288" s="4"/>
      <c r="P288" s="4"/>
      <c r="Q288" s="4"/>
      <c r="AK288" s="44">
        <f t="shared" si="17"/>
        <v>1.0429999999999999</v>
      </c>
    </row>
    <row r="289" spans="2:37" ht="12.75" customHeight="1">
      <c r="B289" s="26">
        <f t="shared" si="18"/>
        <v>281</v>
      </c>
      <c r="C289" s="129" t="s">
        <v>290</v>
      </c>
      <c r="D289" s="66"/>
      <c r="E289" s="66">
        <f t="shared" si="21"/>
        <v>14</v>
      </c>
      <c r="F289" s="67">
        <v>5</v>
      </c>
      <c r="G289" s="127" t="s">
        <v>65</v>
      </c>
      <c r="H289" s="68">
        <f>(23.5*0.25)-0.08+0.83</f>
        <v>6.625</v>
      </c>
      <c r="I289" s="55">
        <f t="shared" si="20"/>
        <v>96.738249999999994</v>
      </c>
      <c r="J289" s="59"/>
      <c r="K289" s="4"/>
      <c r="L289" s="4"/>
      <c r="M289" s="4"/>
      <c r="N289" s="4"/>
      <c r="O289" s="4"/>
      <c r="P289" s="4"/>
      <c r="Q289" s="4"/>
      <c r="AK289" s="44">
        <f t="shared" si="17"/>
        <v>1.0429999999999999</v>
      </c>
    </row>
    <row r="290" spans="2:37" ht="12.75" customHeight="1">
      <c r="B290" s="26">
        <f t="shared" si="18"/>
        <v>282</v>
      </c>
      <c r="C290" s="130" t="s">
        <v>323</v>
      </c>
      <c r="D290" s="66"/>
      <c r="E290" s="66"/>
      <c r="F290" s="67"/>
      <c r="G290" s="66"/>
      <c r="H290" s="68"/>
      <c r="I290" s="55">
        <f t="shared" si="20"/>
        <v>0</v>
      </c>
      <c r="J290" s="59"/>
      <c r="L290" s="4"/>
      <c r="M290" s="4"/>
      <c r="N290" s="4"/>
      <c r="O290" s="4"/>
      <c r="P290" s="4"/>
      <c r="Q290" s="4"/>
      <c r="AK290" s="44">
        <f t="shared" si="17"/>
        <v>0</v>
      </c>
    </row>
    <row r="291" spans="2:37" ht="12.75" customHeight="1">
      <c r="B291" s="26">
        <f t="shared" si="18"/>
        <v>283</v>
      </c>
      <c r="C291" s="129" t="s">
        <v>321</v>
      </c>
      <c r="D291" s="66"/>
      <c r="E291" s="66">
        <f t="shared" ref="E291:E294" si="22">TRUNC((14-0.5*2)/1+1.9)</f>
        <v>14</v>
      </c>
      <c r="F291" s="67">
        <v>5</v>
      </c>
      <c r="G291" s="66" t="s">
        <v>65</v>
      </c>
      <c r="H291" s="68">
        <f>(17*0.35)-0.08+0.83</f>
        <v>6.6999999999999993</v>
      </c>
      <c r="I291" s="55">
        <f t="shared" si="20"/>
        <v>97.833399999999983</v>
      </c>
      <c r="J291" s="59"/>
      <c r="K291" s="4"/>
      <c r="L291" s="4"/>
      <c r="M291" s="4"/>
      <c r="N291" s="4"/>
      <c r="O291" s="4"/>
      <c r="P291" s="4"/>
      <c r="Q291" s="4"/>
      <c r="AK291" s="44">
        <f t="shared" si="17"/>
        <v>1.0429999999999999</v>
      </c>
    </row>
    <row r="292" spans="2:37" ht="12.75" customHeight="1">
      <c r="B292" s="26">
        <f t="shared" si="18"/>
        <v>284</v>
      </c>
      <c r="C292" s="129" t="s">
        <v>293</v>
      </c>
      <c r="D292" s="66"/>
      <c r="E292" s="66">
        <f t="shared" si="22"/>
        <v>14</v>
      </c>
      <c r="F292" s="67">
        <v>9</v>
      </c>
      <c r="G292" s="66" t="s">
        <v>57</v>
      </c>
      <c r="H292" s="68">
        <f>(29.25*0.35)*2</f>
        <v>20.474999999999998</v>
      </c>
      <c r="I292" s="55">
        <f t="shared" si="20"/>
        <v>974.6099999999999</v>
      </c>
      <c r="J292" s="59"/>
      <c r="K292" s="4"/>
      <c r="L292" s="4"/>
      <c r="M292" s="4"/>
      <c r="N292" s="4"/>
      <c r="O292" s="4"/>
      <c r="P292" s="4"/>
      <c r="Q292" s="4"/>
      <c r="AK292" s="44">
        <f t="shared" si="17"/>
        <v>3.4</v>
      </c>
    </row>
    <row r="293" spans="2:37" ht="12.75" customHeight="1">
      <c r="B293" s="26">
        <f t="shared" si="18"/>
        <v>285</v>
      </c>
      <c r="C293" s="129" t="s">
        <v>287</v>
      </c>
      <c r="D293" s="66"/>
      <c r="E293" s="66">
        <f t="shared" si="22"/>
        <v>14</v>
      </c>
      <c r="F293" s="67">
        <v>7</v>
      </c>
      <c r="G293" s="66" t="s">
        <v>57</v>
      </c>
      <c r="H293" s="68">
        <f>(19*0.35)*2</f>
        <v>13.299999999999999</v>
      </c>
      <c r="I293" s="55">
        <f t="shared" si="20"/>
        <v>380.59279999999995</v>
      </c>
      <c r="J293" s="59"/>
      <c r="K293" s="4"/>
      <c r="L293" s="4"/>
      <c r="M293" s="4"/>
      <c r="N293" s="4"/>
      <c r="O293" s="4"/>
      <c r="P293" s="4"/>
      <c r="Q293" s="4"/>
      <c r="AK293" s="44">
        <f t="shared" si="17"/>
        <v>2.044</v>
      </c>
    </row>
    <row r="294" spans="2:37" ht="12.75" customHeight="1">
      <c r="B294" s="26">
        <f t="shared" si="18"/>
        <v>286</v>
      </c>
      <c r="C294" s="129" t="s">
        <v>290</v>
      </c>
      <c r="D294" s="66"/>
      <c r="E294" s="66">
        <f t="shared" si="22"/>
        <v>14</v>
      </c>
      <c r="F294" s="67">
        <v>5</v>
      </c>
      <c r="G294" s="66" t="s">
        <v>65</v>
      </c>
      <c r="H294" s="68">
        <f>(20*0.35)-0.08+0.83</f>
        <v>7.75</v>
      </c>
      <c r="I294" s="55">
        <f t="shared" si="20"/>
        <v>113.16549999999999</v>
      </c>
      <c r="J294" s="59"/>
      <c r="K294" s="4"/>
      <c r="L294" s="4"/>
      <c r="M294" s="4"/>
      <c r="N294" s="4"/>
      <c r="O294" s="4"/>
      <c r="P294" s="4"/>
      <c r="Q294" s="4"/>
      <c r="AK294" s="44">
        <f t="shared" si="17"/>
        <v>1.0429999999999999</v>
      </c>
    </row>
    <row r="295" spans="2:37" ht="12.75" customHeight="1">
      <c r="B295" s="26">
        <f t="shared" si="18"/>
        <v>287</v>
      </c>
      <c r="C295" s="130" t="s">
        <v>324</v>
      </c>
      <c r="D295" s="66"/>
      <c r="E295" s="66">
        <f>TRUNC((14-0.5*2)/1+1.9)</f>
        <v>14</v>
      </c>
      <c r="F295" s="67">
        <v>5</v>
      </c>
      <c r="G295" s="127" t="s">
        <v>65</v>
      </c>
      <c r="H295" s="68">
        <f>(17.83*0.25)-0.08+0.83</f>
        <v>5.2074999999999996</v>
      </c>
      <c r="I295" s="55">
        <f t="shared" si="20"/>
        <v>76.039914999999993</v>
      </c>
      <c r="J295" s="59"/>
      <c r="L295" s="4"/>
      <c r="M295" s="4"/>
      <c r="N295" s="4"/>
      <c r="O295" s="4"/>
      <c r="P295" s="4"/>
      <c r="Q295" s="4"/>
      <c r="AK295" s="44">
        <f t="shared" si="17"/>
        <v>1.0429999999999999</v>
      </c>
    </row>
    <row r="296" spans="2:37" ht="12.75" customHeight="1">
      <c r="B296" s="26">
        <f t="shared" si="18"/>
        <v>288</v>
      </c>
      <c r="C296" s="129" t="s">
        <v>288</v>
      </c>
      <c r="D296" s="66"/>
      <c r="E296" s="66">
        <f>TRUNC((14-0.5*2)/1+1.9)</f>
        <v>14</v>
      </c>
      <c r="F296" s="67">
        <v>6</v>
      </c>
      <c r="G296" s="127" t="s">
        <v>57</v>
      </c>
      <c r="H296" s="68">
        <f>(29.25*0.25)*2</f>
        <v>14.625</v>
      </c>
      <c r="I296" s="55">
        <f t="shared" si="20"/>
        <v>307.53450000000004</v>
      </c>
      <c r="J296" s="59"/>
      <c r="K296" s="4"/>
      <c r="L296" s="4"/>
      <c r="M296" s="4"/>
      <c r="N296" s="4"/>
      <c r="O296" s="4"/>
      <c r="P296" s="4"/>
      <c r="Q296" s="4"/>
      <c r="AK296" s="44">
        <f t="shared" si="17"/>
        <v>1.502</v>
      </c>
    </row>
    <row r="297" spans="2:37" ht="12.75" customHeight="1">
      <c r="B297" s="26">
        <f t="shared" si="18"/>
        <v>289</v>
      </c>
      <c r="C297" s="129" t="s">
        <v>288</v>
      </c>
      <c r="D297" s="66"/>
      <c r="E297" s="66">
        <f>TRUNC((14-0.5*2)/1+1.9)</f>
        <v>14</v>
      </c>
      <c r="F297" s="67">
        <v>6</v>
      </c>
      <c r="G297" s="127" t="s">
        <v>57</v>
      </c>
      <c r="H297" s="68">
        <f>(29.25*0.25)*2</f>
        <v>14.625</v>
      </c>
      <c r="I297" s="55">
        <f t="shared" si="20"/>
        <v>307.53450000000004</v>
      </c>
      <c r="J297" s="59"/>
      <c r="K297" s="4"/>
      <c r="L297" s="4"/>
      <c r="M297" s="4"/>
      <c r="N297" s="4"/>
      <c r="O297" s="4"/>
      <c r="P297" s="4"/>
      <c r="Q297" s="4"/>
      <c r="AK297" s="44">
        <f t="shared" si="17"/>
        <v>1.502</v>
      </c>
    </row>
    <row r="298" spans="2:37" ht="12.75" customHeight="1">
      <c r="B298" s="26">
        <f t="shared" si="18"/>
        <v>290</v>
      </c>
      <c r="C298" s="129" t="s">
        <v>290</v>
      </c>
      <c r="D298" s="66"/>
      <c r="E298" s="66">
        <f>TRUNC((14-0.5*2)/1+1.9)</f>
        <v>14</v>
      </c>
      <c r="F298" s="67">
        <v>5</v>
      </c>
      <c r="G298" s="127" t="s">
        <v>65</v>
      </c>
      <c r="H298" s="68">
        <f>(20.25*0.25)-0.08+0.83</f>
        <v>5.8125</v>
      </c>
      <c r="I298" s="55">
        <f t="shared" si="20"/>
        <v>84.874124999999992</v>
      </c>
      <c r="J298" s="59"/>
      <c r="K298" s="4"/>
      <c r="L298" s="4"/>
      <c r="M298" s="4"/>
      <c r="N298" s="4"/>
      <c r="O298" s="4"/>
      <c r="P298" s="4"/>
      <c r="Q298" s="4"/>
      <c r="AK298" s="44">
        <f t="shared" si="17"/>
        <v>1.0429999999999999</v>
      </c>
    </row>
    <row r="299" spans="2:37" ht="12.75" customHeight="1">
      <c r="B299" s="26">
        <f t="shared" si="18"/>
        <v>291</v>
      </c>
      <c r="C299" s="129" t="s">
        <v>290</v>
      </c>
      <c r="D299" s="66"/>
      <c r="E299" s="66">
        <f>TRUNC((14-0.5*2)/1+1.9)</f>
        <v>14</v>
      </c>
      <c r="F299" s="67">
        <v>5</v>
      </c>
      <c r="G299" s="127" t="s">
        <v>65</v>
      </c>
      <c r="H299" s="68">
        <f>(20.25*0.25)-0.08+0.83</f>
        <v>5.8125</v>
      </c>
      <c r="I299" s="55">
        <f t="shared" si="20"/>
        <v>84.874124999999992</v>
      </c>
      <c r="J299" s="59"/>
      <c r="K299" s="4"/>
      <c r="L299" s="4"/>
      <c r="M299" s="4"/>
      <c r="N299" s="4"/>
      <c r="O299" s="4"/>
      <c r="P299" s="4"/>
      <c r="Q299" s="4"/>
      <c r="AK299" s="44">
        <f t="shared" si="17"/>
        <v>1.0429999999999999</v>
      </c>
    </row>
    <row r="300" spans="2:37" ht="12.75" customHeight="1">
      <c r="B300" s="26">
        <f t="shared" si="18"/>
        <v>292</v>
      </c>
      <c r="C300" s="130" t="s">
        <v>309</v>
      </c>
      <c r="D300" s="66"/>
      <c r="E300" s="66"/>
      <c r="F300" s="67"/>
      <c r="G300" s="66"/>
      <c r="H300" s="68"/>
      <c r="I300" s="55">
        <f t="shared" si="20"/>
        <v>0</v>
      </c>
      <c r="J300" s="59"/>
      <c r="K300" s="4"/>
      <c r="L300" s="4"/>
      <c r="M300" s="4"/>
      <c r="N300" s="4"/>
      <c r="O300" s="4"/>
      <c r="P300" s="4"/>
      <c r="Q300" s="4"/>
      <c r="AK300" s="44">
        <f t="shared" si="17"/>
        <v>0</v>
      </c>
    </row>
    <row r="301" spans="2:37" ht="12.75" customHeight="1">
      <c r="B301" s="26">
        <f t="shared" si="18"/>
        <v>293</v>
      </c>
      <c r="C301" s="129" t="s">
        <v>320</v>
      </c>
      <c r="D301" s="66"/>
      <c r="E301" s="66">
        <f t="shared" ref="E301:E310" si="23">TRUNC((7-0.5*2)/1+1.9)</f>
        <v>7</v>
      </c>
      <c r="F301" s="67">
        <v>5</v>
      </c>
      <c r="G301" s="127" t="s">
        <v>65</v>
      </c>
      <c r="H301" s="68">
        <f>(17*0.35)-0.08+0.83</f>
        <v>6.6999999999999993</v>
      </c>
      <c r="I301" s="55">
        <f t="shared" si="20"/>
        <v>48.916699999999992</v>
      </c>
      <c r="J301" s="59"/>
      <c r="K301" s="4"/>
      <c r="L301" s="4"/>
      <c r="M301" s="4"/>
      <c r="N301" s="4"/>
      <c r="O301" s="4"/>
      <c r="P301" s="4"/>
      <c r="Q301" s="4"/>
      <c r="AK301" s="44">
        <f t="shared" si="17"/>
        <v>1.0429999999999999</v>
      </c>
    </row>
    <row r="302" spans="2:37" ht="12.75" customHeight="1">
      <c r="B302" s="26">
        <f t="shared" si="18"/>
        <v>294</v>
      </c>
      <c r="C302" s="129" t="s">
        <v>293</v>
      </c>
      <c r="D302" s="66"/>
      <c r="E302" s="66">
        <f t="shared" si="23"/>
        <v>7</v>
      </c>
      <c r="F302" s="67">
        <v>9</v>
      </c>
      <c r="G302" s="127" t="s">
        <v>57</v>
      </c>
      <c r="H302" s="68">
        <f>(29.25*0.35)*2</f>
        <v>20.474999999999998</v>
      </c>
      <c r="I302" s="55">
        <f t="shared" si="20"/>
        <v>487.30499999999995</v>
      </c>
      <c r="J302" s="59"/>
      <c r="K302" s="4"/>
      <c r="L302" s="4"/>
      <c r="M302" s="4"/>
      <c r="N302" s="4"/>
      <c r="O302" s="4"/>
      <c r="P302" s="4"/>
      <c r="Q302" s="4"/>
      <c r="AK302" s="44">
        <f t="shared" si="17"/>
        <v>3.4</v>
      </c>
    </row>
    <row r="303" spans="2:37" ht="12.75" customHeight="1">
      <c r="B303" s="26">
        <f t="shared" si="18"/>
        <v>295</v>
      </c>
      <c r="C303" s="129" t="s">
        <v>288</v>
      </c>
      <c r="D303" s="66"/>
      <c r="E303" s="66">
        <f t="shared" si="23"/>
        <v>7</v>
      </c>
      <c r="F303" s="67">
        <v>6</v>
      </c>
      <c r="G303" s="127" t="s">
        <v>57</v>
      </c>
      <c r="H303" s="68">
        <f>(29.25*0.35)*2</f>
        <v>20.474999999999998</v>
      </c>
      <c r="I303" s="55">
        <f t="shared" si="20"/>
        <v>215.27414999999999</v>
      </c>
      <c r="J303" s="59"/>
      <c r="K303" s="4"/>
      <c r="M303" s="4"/>
      <c r="N303" s="4"/>
      <c r="O303" s="4"/>
      <c r="P303" s="4"/>
      <c r="Q303" s="4"/>
      <c r="AK303" s="44">
        <f t="shared" si="17"/>
        <v>1.502</v>
      </c>
    </row>
    <row r="304" spans="2:37" ht="12.75" customHeight="1">
      <c r="B304" s="26">
        <f t="shared" si="18"/>
        <v>296</v>
      </c>
      <c r="C304" s="129" t="s">
        <v>290</v>
      </c>
      <c r="D304" s="66"/>
      <c r="E304" s="66">
        <f t="shared" si="23"/>
        <v>7</v>
      </c>
      <c r="F304" s="67">
        <v>5</v>
      </c>
      <c r="G304" s="127" t="s">
        <v>57</v>
      </c>
      <c r="H304" s="68">
        <f>(20*0.35)*2</f>
        <v>14</v>
      </c>
      <c r="I304" s="55">
        <f t="shared" si="20"/>
        <v>102.21399999999998</v>
      </c>
      <c r="J304" s="59"/>
      <c r="K304" s="4"/>
      <c r="L304" s="4"/>
      <c r="M304" s="4"/>
      <c r="N304" s="4"/>
      <c r="O304" s="4"/>
      <c r="P304" s="4"/>
      <c r="Q304" s="4"/>
      <c r="AK304" s="44">
        <f t="shared" si="17"/>
        <v>1.0429999999999999</v>
      </c>
    </row>
    <row r="305" spans="2:37" ht="12.75" customHeight="1">
      <c r="B305" s="26">
        <f t="shared" si="18"/>
        <v>297</v>
      </c>
      <c r="C305" s="129" t="s">
        <v>292</v>
      </c>
      <c r="D305" s="66"/>
      <c r="E305" s="66">
        <f t="shared" si="23"/>
        <v>7</v>
      </c>
      <c r="F305" s="67">
        <v>8</v>
      </c>
      <c r="G305" s="127" t="s">
        <v>57</v>
      </c>
      <c r="H305" s="68">
        <f>(20*0.35)*2</f>
        <v>14</v>
      </c>
      <c r="I305" s="55">
        <f t="shared" si="20"/>
        <v>261.65999999999997</v>
      </c>
      <c r="J305" s="59"/>
      <c r="K305" s="4"/>
      <c r="L305" s="4"/>
      <c r="M305" s="4"/>
      <c r="N305" s="4"/>
      <c r="O305" s="4"/>
      <c r="P305" s="4"/>
      <c r="Q305" s="4"/>
      <c r="AK305" s="44">
        <f t="shared" si="17"/>
        <v>2.67</v>
      </c>
    </row>
    <row r="306" spans="2:37" ht="12.75" customHeight="1">
      <c r="B306" s="26">
        <f t="shared" si="18"/>
        <v>298</v>
      </c>
      <c r="C306" s="129" t="s">
        <v>290</v>
      </c>
      <c r="D306" s="66"/>
      <c r="E306" s="66">
        <f t="shared" si="23"/>
        <v>7</v>
      </c>
      <c r="F306" s="67">
        <v>5</v>
      </c>
      <c r="G306" s="127" t="s">
        <v>65</v>
      </c>
      <c r="H306" s="68">
        <f>(23.17*0.35)-0.08+0.83</f>
        <v>8.8595000000000006</v>
      </c>
      <c r="I306" s="55">
        <f t="shared" si="20"/>
        <v>64.683209500000004</v>
      </c>
      <c r="J306" s="59"/>
      <c r="L306" s="4"/>
      <c r="M306" s="4"/>
      <c r="N306" s="4"/>
      <c r="O306" s="4"/>
      <c r="P306" s="4"/>
      <c r="Q306" s="4"/>
      <c r="AK306" s="44">
        <f t="shared" si="17"/>
        <v>1.0429999999999999</v>
      </c>
    </row>
    <row r="307" spans="2:37" ht="12.75" customHeight="1">
      <c r="B307" s="26">
        <f t="shared" si="18"/>
        <v>299</v>
      </c>
      <c r="C307" s="129" t="s">
        <v>321</v>
      </c>
      <c r="D307" s="66"/>
      <c r="E307" s="66">
        <f t="shared" si="23"/>
        <v>7</v>
      </c>
      <c r="F307" s="67">
        <v>5</v>
      </c>
      <c r="G307" s="127" t="s">
        <v>65</v>
      </c>
      <c r="H307" s="68">
        <f>(17*0.35)-0.08+0.83</f>
        <v>6.6999999999999993</v>
      </c>
      <c r="I307" s="55">
        <f t="shared" si="20"/>
        <v>48.916699999999992</v>
      </c>
      <c r="J307" s="59"/>
      <c r="K307" s="4"/>
      <c r="L307" s="4"/>
      <c r="M307" s="4"/>
      <c r="N307" s="4"/>
      <c r="O307" s="4"/>
      <c r="P307" s="4"/>
      <c r="Q307" s="4"/>
      <c r="AK307" s="44">
        <f t="shared" si="17"/>
        <v>1.0429999999999999</v>
      </c>
    </row>
    <row r="308" spans="2:37" ht="12.75" customHeight="1">
      <c r="B308" s="26">
        <f t="shared" si="18"/>
        <v>300</v>
      </c>
      <c r="C308" s="129" t="s">
        <v>293</v>
      </c>
      <c r="D308" s="66"/>
      <c r="E308" s="66">
        <f t="shared" si="23"/>
        <v>7</v>
      </c>
      <c r="F308" s="67">
        <v>9</v>
      </c>
      <c r="G308" s="127" t="s">
        <v>57</v>
      </c>
      <c r="H308" s="68">
        <f>(29.25*0.35)*2</f>
        <v>20.474999999999998</v>
      </c>
      <c r="I308" s="55">
        <f t="shared" si="20"/>
        <v>487.30499999999995</v>
      </c>
      <c r="J308" s="59"/>
      <c r="K308" s="4"/>
      <c r="L308" s="4"/>
      <c r="M308" s="4"/>
      <c r="N308" s="4"/>
      <c r="O308" s="4"/>
      <c r="P308" s="4"/>
      <c r="Q308" s="4"/>
      <c r="AK308" s="44">
        <f t="shared" si="17"/>
        <v>3.4</v>
      </c>
    </row>
    <row r="309" spans="2:37" ht="12.75" customHeight="1">
      <c r="B309" s="26">
        <f t="shared" si="18"/>
        <v>301</v>
      </c>
      <c r="C309" s="129" t="s">
        <v>287</v>
      </c>
      <c r="D309" s="66"/>
      <c r="E309" s="66">
        <f t="shared" si="23"/>
        <v>7</v>
      </c>
      <c r="F309" s="67">
        <v>7</v>
      </c>
      <c r="G309" s="127" t="s">
        <v>57</v>
      </c>
      <c r="H309" s="68">
        <f>(19*0.35)*2</f>
        <v>13.299999999999999</v>
      </c>
      <c r="I309" s="55">
        <f t="shared" si="20"/>
        <v>190.29639999999998</v>
      </c>
      <c r="J309" s="59"/>
      <c r="K309" s="4"/>
      <c r="L309" s="4"/>
      <c r="M309" s="4"/>
      <c r="N309" s="4"/>
      <c r="O309" s="4"/>
      <c r="P309" s="4"/>
      <c r="Q309" s="4"/>
      <c r="AK309" s="44">
        <f t="shared" si="17"/>
        <v>2.044</v>
      </c>
    </row>
    <row r="310" spans="2:37" ht="12.75" customHeight="1">
      <c r="B310" s="26">
        <f t="shared" si="18"/>
        <v>302</v>
      </c>
      <c r="C310" s="129" t="s">
        <v>288</v>
      </c>
      <c r="D310" s="66"/>
      <c r="E310" s="66">
        <f t="shared" si="23"/>
        <v>7</v>
      </c>
      <c r="F310" s="67">
        <v>6</v>
      </c>
      <c r="G310" s="127" t="s">
        <v>65</v>
      </c>
      <c r="H310" s="68">
        <f>(20*0.35)-0.08+0.83</f>
        <v>7.75</v>
      </c>
      <c r="I310" s="55">
        <f t="shared" si="20"/>
        <v>81.483499999999992</v>
      </c>
      <c r="J310" s="59"/>
      <c r="K310" s="4"/>
      <c r="L310" s="4"/>
      <c r="M310" s="4"/>
      <c r="N310" s="4"/>
      <c r="O310" s="4"/>
      <c r="P310" s="4"/>
      <c r="Q310" s="4"/>
      <c r="AK310" s="44">
        <f t="shared" si="17"/>
        <v>1.502</v>
      </c>
    </row>
    <row r="311" spans="2:37" ht="12.75" customHeight="1">
      <c r="B311" s="26">
        <f t="shared" si="18"/>
        <v>303</v>
      </c>
      <c r="C311" s="130" t="s">
        <v>325</v>
      </c>
      <c r="D311" s="125"/>
      <c r="E311" s="125"/>
      <c r="F311" s="67"/>
      <c r="G311" s="127"/>
      <c r="H311" s="68"/>
      <c r="I311" s="55">
        <f t="shared" si="20"/>
        <v>0</v>
      </c>
      <c r="J311" s="59"/>
      <c r="L311" s="4"/>
      <c r="M311" s="4"/>
      <c r="N311" s="4"/>
      <c r="O311" s="4"/>
      <c r="P311" s="4"/>
      <c r="Q311" s="4"/>
      <c r="AK311" s="44">
        <f t="shared" si="17"/>
        <v>0</v>
      </c>
    </row>
    <row r="312" spans="2:37" ht="12.75" customHeight="1">
      <c r="B312" s="26">
        <f t="shared" si="18"/>
        <v>304</v>
      </c>
      <c r="C312" s="129" t="s">
        <v>290</v>
      </c>
      <c r="D312" s="125"/>
      <c r="E312" s="125">
        <f>TRUNC((14.25-0.5*2)/1+1.9)</f>
        <v>15</v>
      </c>
      <c r="F312" s="67">
        <v>5</v>
      </c>
      <c r="G312" s="127" t="s">
        <v>65</v>
      </c>
      <c r="H312" s="68">
        <f>(17.83*0.25)-0.08+0.83</f>
        <v>5.2074999999999996</v>
      </c>
      <c r="I312" s="55">
        <f t="shared" si="20"/>
        <v>81.47133749999999</v>
      </c>
      <c r="J312" s="59"/>
      <c r="K312" s="4"/>
      <c r="L312" s="4"/>
      <c r="M312" s="4"/>
      <c r="N312" s="4"/>
      <c r="O312" s="4"/>
      <c r="P312" s="4"/>
      <c r="Q312" s="4"/>
      <c r="AK312" s="44">
        <f t="shared" si="17"/>
        <v>1.0429999999999999</v>
      </c>
    </row>
    <row r="313" spans="2:37" ht="12.75" customHeight="1">
      <c r="B313" s="26">
        <f t="shared" si="18"/>
        <v>305</v>
      </c>
      <c r="C313" s="129" t="s">
        <v>288</v>
      </c>
      <c r="D313" s="125"/>
      <c r="E313" s="125">
        <f>TRUNC((14.25-0.5*2)/1+1.9)</f>
        <v>15</v>
      </c>
      <c r="F313" s="67">
        <v>6</v>
      </c>
      <c r="G313" s="127" t="s">
        <v>57</v>
      </c>
      <c r="H313" s="68">
        <f>(29.25*0.25)*2</f>
        <v>14.625</v>
      </c>
      <c r="I313" s="55">
        <f t="shared" si="20"/>
        <v>329.50125000000003</v>
      </c>
      <c r="J313" s="59"/>
      <c r="K313" s="4"/>
      <c r="L313" s="4"/>
      <c r="M313" s="4"/>
      <c r="N313" s="4"/>
      <c r="O313" s="4"/>
      <c r="P313" s="4"/>
      <c r="Q313" s="4"/>
      <c r="AK313" s="44">
        <f t="shared" si="17"/>
        <v>1.502</v>
      </c>
    </row>
    <row r="314" spans="2:37" ht="12.75" customHeight="1">
      <c r="B314" s="26">
        <f t="shared" si="18"/>
        <v>306</v>
      </c>
      <c r="C314" s="129" t="s">
        <v>288</v>
      </c>
      <c r="D314" s="66"/>
      <c r="E314" s="125">
        <f>TRUNC((14.75-0.5*2)/1+1.9)</f>
        <v>15</v>
      </c>
      <c r="F314" s="67">
        <v>6</v>
      </c>
      <c r="G314" s="127" t="s">
        <v>57</v>
      </c>
      <c r="H314" s="68">
        <f>(29.25*0.25)*2</f>
        <v>14.625</v>
      </c>
      <c r="I314" s="55">
        <f t="shared" si="20"/>
        <v>329.50125000000003</v>
      </c>
      <c r="J314" s="59"/>
      <c r="K314" s="4"/>
      <c r="L314" s="4"/>
      <c r="M314" s="4"/>
      <c r="N314" s="4"/>
      <c r="O314" s="4"/>
      <c r="P314" s="4"/>
      <c r="Q314" s="4"/>
      <c r="AK314" s="44">
        <f t="shared" si="17"/>
        <v>1.502</v>
      </c>
    </row>
    <row r="315" spans="2:37" ht="12.75" customHeight="1">
      <c r="B315" s="26">
        <f t="shared" si="18"/>
        <v>307</v>
      </c>
      <c r="C315" s="129" t="s">
        <v>288</v>
      </c>
      <c r="D315" s="66"/>
      <c r="E315" s="125">
        <f>TRUNC((14.75-0.5*2)/1+1.9)</f>
        <v>15</v>
      </c>
      <c r="F315" s="67">
        <v>6</v>
      </c>
      <c r="G315" s="127" t="s">
        <v>57</v>
      </c>
      <c r="H315" s="68">
        <f>(19.67*0.25)*2</f>
        <v>9.8350000000000009</v>
      </c>
      <c r="I315" s="55">
        <f t="shared" si="20"/>
        <v>221.58255000000003</v>
      </c>
      <c r="J315" s="59"/>
      <c r="K315" s="4"/>
      <c r="L315" s="4"/>
      <c r="M315" s="4"/>
      <c r="N315" s="4"/>
      <c r="O315" s="4"/>
      <c r="P315" s="4"/>
      <c r="Q315" s="4"/>
      <c r="AK315" s="44">
        <f t="shared" si="17"/>
        <v>1.502</v>
      </c>
    </row>
    <row r="316" spans="2:37" ht="12.75" customHeight="1">
      <c r="B316" s="26">
        <f t="shared" si="18"/>
        <v>308</v>
      </c>
      <c r="C316" s="129" t="s">
        <v>288</v>
      </c>
      <c r="D316" s="66"/>
      <c r="E316" s="125">
        <f>TRUNC((15.75-0.5*2)/1+1.9)</f>
        <v>16</v>
      </c>
      <c r="F316" s="67">
        <v>6</v>
      </c>
      <c r="G316" s="127" t="s">
        <v>57</v>
      </c>
      <c r="H316" s="68">
        <f>(19.67*0.25)*2</f>
        <v>9.8350000000000009</v>
      </c>
      <c r="I316" s="55">
        <f t="shared" si="20"/>
        <v>236.35472000000001</v>
      </c>
      <c r="J316" s="59"/>
      <c r="K316" s="4"/>
      <c r="L316" s="4"/>
      <c r="M316" s="4"/>
      <c r="N316" s="4"/>
      <c r="O316" s="4"/>
      <c r="P316" s="4"/>
      <c r="Q316" s="4"/>
      <c r="AK316" s="44">
        <f t="shared" si="17"/>
        <v>1.502</v>
      </c>
    </row>
    <row r="317" spans="2:37" ht="12.75" customHeight="1">
      <c r="B317" s="26">
        <f t="shared" si="18"/>
        <v>309</v>
      </c>
      <c r="C317" s="129" t="s">
        <v>290</v>
      </c>
      <c r="D317" s="66"/>
      <c r="E317" s="125">
        <f>TRUNC((15.75-0.5*2)/1+1.9)</f>
        <v>16</v>
      </c>
      <c r="F317" s="67">
        <v>5</v>
      </c>
      <c r="G317" s="127" t="s">
        <v>65</v>
      </c>
      <c r="H317" s="68">
        <f>(23.25*0.25)-0.08+0.83</f>
        <v>6.5625</v>
      </c>
      <c r="I317" s="55">
        <f t="shared" si="20"/>
        <v>109.51499999999999</v>
      </c>
      <c r="J317" s="59"/>
      <c r="K317" s="4"/>
      <c r="L317" s="4"/>
      <c r="M317" s="4"/>
      <c r="N317" s="4"/>
      <c r="O317" s="4"/>
      <c r="P317" s="4"/>
      <c r="Q317" s="4"/>
      <c r="AK317" s="44">
        <f t="shared" si="17"/>
        <v>1.0429999999999999</v>
      </c>
    </row>
    <row r="318" spans="2:37" ht="12.75" customHeight="1">
      <c r="B318" s="26">
        <f t="shared" si="18"/>
        <v>310</v>
      </c>
      <c r="C318" s="130" t="s">
        <v>311</v>
      </c>
      <c r="D318" s="66"/>
      <c r="E318" s="66"/>
      <c r="F318" s="67"/>
      <c r="G318" s="66"/>
      <c r="H318" s="68"/>
      <c r="I318" s="55">
        <f t="shared" si="20"/>
        <v>0</v>
      </c>
      <c r="J318" s="59"/>
      <c r="K318" s="4"/>
      <c r="L318" s="4"/>
      <c r="M318" s="4"/>
      <c r="N318" s="4"/>
      <c r="O318" s="4"/>
      <c r="P318" s="4"/>
      <c r="Q318" s="4"/>
      <c r="AK318" s="44">
        <f t="shared" si="17"/>
        <v>0</v>
      </c>
    </row>
    <row r="319" spans="2:37" ht="12.75" customHeight="1">
      <c r="B319" s="26">
        <f t="shared" si="18"/>
        <v>311</v>
      </c>
      <c r="C319" s="129" t="s">
        <v>290</v>
      </c>
      <c r="D319" s="66"/>
      <c r="E319" s="125">
        <f>TRUNC((10.83-0.5*2)/1+1.9)</f>
        <v>11</v>
      </c>
      <c r="F319" s="67">
        <v>5</v>
      </c>
      <c r="G319" s="127" t="s">
        <v>65</v>
      </c>
      <c r="H319" s="68">
        <f>(18*0.35)-0.08+0.83</f>
        <v>7.05</v>
      </c>
      <c r="I319" s="55">
        <f t="shared" si="20"/>
        <v>80.884649999999993</v>
      </c>
      <c r="J319" s="59"/>
      <c r="K319" s="4"/>
      <c r="M319" s="4"/>
      <c r="N319" s="4"/>
      <c r="O319" s="4"/>
      <c r="P319" s="4"/>
      <c r="Q319" s="4"/>
      <c r="AK319" s="44">
        <f t="shared" si="17"/>
        <v>1.0429999999999999</v>
      </c>
    </row>
    <row r="320" spans="2:37" ht="12.75" customHeight="1">
      <c r="B320" s="26">
        <f t="shared" si="18"/>
        <v>312</v>
      </c>
      <c r="C320" s="129" t="s">
        <v>292</v>
      </c>
      <c r="D320" s="66"/>
      <c r="E320" s="125">
        <f t="shared" ref="E320:E324" si="24">TRUNC((10.83-0.5*2)/1+1.9)</f>
        <v>11</v>
      </c>
      <c r="F320" s="67">
        <v>8</v>
      </c>
      <c r="G320" s="127" t="s">
        <v>57</v>
      </c>
      <c r="H320" s="68">
        <f>(26*0.35)+8.5-0.08+1</f>
        <v>18.520000000000003</v>
      </c>
      <c r="I320" s="55">
        <f t="shared" si="20"/>
        <v>543.93240000000003</v>
      </c>
      <c r="J320" s="59"/>
      <c r="K320" s="4"/>
      <c r="L320" s="4"/>
      <c r="M320" s="4"/>
      <c r="N320" s="4"/>
      <c r="O320" s="4"/>
      <c r="P320" s="4"/>
      <c r="Q320" s="4"/>
      <c r="AK320" s="44">
        <f t="shared" si="17"/>
        <v>2.67</v>
      </c>
    </row>
    <row r="321" spans="2:37" ht="12.75" customHeight="1">
      <c r="B321" s="26">
        <f t="shared" si="18"/>
        <v>313</v>
      </c>
      <c r="C321" s="129" t="s">
        <v>326</v>
      </c>
      <c r="D321" s="66"/>
      <c r="E321" s="125">
        <f>TRUNC((10.83-0.42*2)/0.83+1.9)</f>
        <v>13</v>
      </c>
      <c r="F321" s="67">
        <v>7</v>
      </c>
      <c r="G321" s="127" t="s">
        <v>57</v>
      </c>
      <c r="H321" s="68">
        <f>(26*0.35)+8.5-0.08+1</f>
        <v>18.520000000000003</v>
      </c>
      <c r="I321" s="55">
        <f t="shared" si="20"/>
        <v>492.11344000000008</v>
      </c>
      <c r="J321" s="59"/>
      <c r="K321" s="4"/>
      <c r="L321" s="4"/>
      <c r="M321" s="4"/>
      <c r="N321" s="4"/>
      <c r="O321" s="4"/>
      <c r="P321" s="4"/>
      <c r="Q321" s="4"/>
      <c r="AK321" s="44">
        <f t="shared" si="17"/>
        <v>2.044</v>
      </c>
    </row>
    <row r="322" spans="2:37" ht="12.75" customHeight="1">
      <c r="B322" s="26">
        <f t="shared" si="18"/>
        <v>314</v>
      </c>
      <c r="C322" s="129" t="s">
        <v>288</v>
      </c>
      <c r="D322" s="66"/>
      <c r="E322" s="125">
        <f t="shared" si="24"/>
        <v>11</v>
      </c>
      <c r="F322" s="67">
        <v>6</v>
      </c>
      <c r="G322" s="127" t="s">
        <v>57</v>
      </c>
      <c r="H322" s="68">
        <v>33.33</v>
      </c>
      <c r="I322" s="55">
        <f t="shared" si="20"/>
        <v>550.67825999999991</v>
      </c>
      <c r="J322" s="59"/>
      <c r="L322" s="4"/>
      <c r="M322" s="4"/>
      <c r="N322" s="4"/>
      <c r="O322" s="4"/>
      <c r="P322" s="4"/>
      <c r="Q322" s="4"/>
      <c r="AK322" s="44">
        <f t="shared" si="17"/>
        <v>1.502</v>
      </c>
    </row>
    <row r="323" spans="2:37" ht="12.75" customHeight="1">
      <c r="B323" s="26">
        <f t="shared" si="18"/>
        <v>315</v>
      </c>
      <c r="C323" s="129" t="s">
        <v>287</v>
      </c>
      <c r="D323" s="66"/>
      <c r="E323" s="125">
        <f t="shared" si="24"/>
        <v>11</v>
      </c>
      <c r="F323" s="67">
        <v>7</v>
      </c>
      <c r="G323" s="127" t="s">
        <v>57</v>
      </c>
      <c r="H323" s="68">
        <f>(20.33*0.35)*2</f>
        <v>14.230999999999998</v>
      </c>
      <c r="I323" s="55">
        <f t="shared" si="20"/>
        <v>319.96980399999995</v>
      </c>
      <c r="J323" s="59"/>
      <c r="K323" s="4"/>
      <c r="L323" s="4"/>
      <c r="M323" s="4"/>
      <c r="N323" s="4"/>
      <c r="O323" s="4"/>
      <c r="P323" s="4"/>
      <c r="Q323" s="4"/>
      <c r="AK323" s="44">
        <f t="shared" si="17"/>
        <v>2.044</v>
      </c>
    </row>
    <row r="324" spans="2:37" ht="12.75" customHeight="1">
      <c r="B324" s="26">
        <f t="shared" si="18"/>
        <v>316</v>
      </c>
      <c r="C324" s="129" t="s">
        <v>290</v>
      </c>
      <c r="D324" s="66"/>
      <c r="E324" s="125">
        <f t="shared" si="24"/>
        <v>11</v>
      </c>
      <c r="F324" s="67">
        <v>5</v>
      </c>
      <c r="G324" s="127" t="s">
        <v>65</v>
      </c>
      <c r="H324" s="68">
        <f>(27*0.35)-0.08+0.83</f>
        <v>10.199999999999999</v>
      </c>
      <c r="I324" s="55">
        <f t="shared" si="20"/>
        <v>117.02459999999998</v>
      </c>
      <c r="J324" s="59"/>
      <c r="K324" s="4"/>
      <c r="L324" s="4"/>
      <c r="M324" s="4"/>
      <c r="N324" s="4"/>
      <c r="O324" s="4"/>
      <c r="P324" s="4"/>
      <c r="Q324" s="4"/>
      <c r="AK324" s="44">
        <f t="shared" si="17"/>
        <v>1.0429999999999999</v>
      </c>
    </row>
    <row r="325" spans="2:37" ht="12.75" customHeight="1">
      <c r="B325" s="26">
        <f t="shared" si="18"/>
        <v>317</v>
      </c>
      <c r="C325" s="130" t="s">
        <v>327</v>
      </c>
      <c r="D325" s="125"/>
      <c r="E325" s="125"/>
      <c r="F325" s="67"/>
      <c r="G325" s="127"/>
      <c r="H325" s="68"/>
      <c r="I325" s="55">
        <f t="shared" si="20"/>
        <v>0</v>
      </c>
      <c r="J325" s="59"/>
      <c r="L325" s="4"/>
      <c r="M325" s="4"/>
      <c r="N325" s="4"/>
      <c r="O325" s="4"/>
      <c r="P325" s="4"/>
      <c r="Q325" s="4"/>
      <c r="AK325" s="44">
        <f t="shared" si="17"/>
        <v>0</v>
      </c>
    </row>
    <row r="326" spans="2:37" ht="12.75" customHeight="1">
      <c r="B326" s="26">
        <f t="shared" si="18"/>
        <v>318</v>
      </c>
      <c r="C326" s="129" t="s">
        <v>290</v>
      </c>
      <c r="D326" s="125"/>
      <c r="E326" s="125">
        <f>TRUNC((10-0.5*2)/1+1.9)</f>
        <v>10</v>
      </c>
      <c r="F326" s="67">
        <v>5</v>
      </c>
      <c r="G326" s="127" t="s">
        <v>65</v>
      </c>
      <c r="H326" s="68">
        <f>(21.67*0.25)-0.08+0.83</f>
        <v>6.1675000000000004</v>
      </c>
      <c r="I326" s="55">
        <f t="shared" si="20"/>
        <v>64.327025000000006</v>
      </c>
      <c r="J326" s="59"/>
      <c r="K326" s="4"/>
      <c r="L326" s="4"/>
      <c r="M326" s="4"/>
      <c r="N326" s="4"/>
      <c r="O326" s="4"/>
      <c r="P326" s="4"/>
      <c r="Q326" s="4"/>
      <c r="AK326" s="44">
        <f t="shared" si="17"/>
        <v>1.0429999999999999</v>
      </c>
    </row>
    <row r="327" spans="2:37" ht="12.75" customHeight="1">
      <c r="B327" s="26">
        <f t="shared" si="18"/>
        <v>319</v>
      </c>
      <c r="C327" s="129" t="s">
        <v>288</v>
      </c>
      <c r="D327" s="125"/>
      <c r="E327" s="125">
        <f>TRUNC((10-0.5*2)/1+1.9)</f>
        <v>10</v>
      </c>
      <c r="F327" s="67">
        <v>6</v>
      </c>
      <c r="G327" s="127" t="s">
        <v>57</v>
      </c>
      <c r="H327" s="68">
        <f>(21.67*0.25)*2</f>
        <v>10.835000000000001</v>
      </c>
      <c r="I327" s="55">
        <f t="shared" si="20"/>
        <v>162.74170000000001</v>
      </c>
      <c r="J327" s="59"/>
      <c r="K327" s="4"/>
      <c r="L327" s="4"/>
      <c r="M327" s="4"/>
      <c r="N327" s="4"/>
      <c r="O327" s="4"/>
      <c r="P327" s="4"/>
      <c r="Q327" s="4"/>
      <c r="AK327" s="44">
        <f t="shared" si="17"/>
        <v>1.502</v>
      </c>
    </row>
    <row r="328" spans="2:37" ht="12.75" customHeight="1">
      <c r="B328" s="26">
        <f t="shared" si="18"/>
        <v>320</v>
      </c>
      <c r="C328" s="129" t="s">
        <v>290</v>
      </c>
      <c r="D328" s="66"/>
      <c r="E328" s="125">
        <f>TRUNC((10-0.5*2)/1+1.9)</f>
        <v>10</v>
      </c>
      <c r="F328" s="67">
        <v>5</v>
      </c>
      <c r="G328" s="127" t="s">
        <v>57</v>
      </c>
      <c r="H328" s="68">
        <f>(27.67*0.25)-0.08+0.83</f>
        <v>7.6675000000000004</v>
      </c>
      <c r="I328" s="55">
        <f t="shared" si="20"/>
        <v>79.972025000000002</v>
      </c>
      <c r="J328" s="59"/>
      <c r="K328" s="4"/>
      <c r="L328" s="4"/>
      <c r="M328" s="4"/>
      <c r="N328" s="4"/>
      <c r="O328" s="4"/>
      <c r="P328" s="4"/>
      <c r="Q328" s="4"/>
      <c r="AK328" s="44">
        <f t="shared" si="17"/>
        <v>1.0429999999999999</v>
      </c>
    </row>
    <row r="329" spans="2:37" ht="12.75" customHeight="1">
      <c r="B329" s="26">
        <f t="shared" si="18"/>
        <v>321</v>
      </c>
      <c r="C329" s="130" t="s">
        <v>328</v>
      </c>
      <c r="D329" s="125"/>
      <c r="E329" s="125"/>
      <c r="F329" s="67"/>
      <c r="G329" s="127"/>
      <c r="H329" s="68"/>
      <c r="I329" s="55">
        <f t="shared" si="20"/>
        <v>0</v>
      </c>
      <c r="J329" s="59"/>
      <c r="K329" s="4"/>
      <c r="L329" s="4"/>
      <c r="M329" s="4"/>
      <c r="N329" s="4"/>
      <c r="O329" s="4"/>
      <c r="P329" s="4"/>
      <c r="Q329" s="4"/>
      <c r="AK329" s="44">
        <f t="shared" ref="AK329:AK359" si="25">IF(F329="",0,VLOOKUP(F329,$CI$16:$CJ$358,2,FALSE))</f>
        <v>0</v>
      </c>
    </row>
    <row r="330" spans="2:37" ht="12.75" customHeight="1">
      <c r="B330" s="26">
        <f t="shared" ref="B330:B358" si="26">IF(B329="SL.NO",1,B329+1)</f>
        <v>322</v>
      </c>
      <c r="C330" s="129" t="s">
        <v>290</v>
      </c>
      <c r="D330" s="125"/>
      <c r="E330" s="125">
        <f>TRUNC((8-0.5*2)/1+1.9)</f>
        <v>8</v>
      </c>
      <c r="F330" s="67">
        <v>5</v>
      </c>
      <c r="G330" s="127" t="s">
        <v>65</v>
      </c>
      <c r="H330" s="68">
        <f>(28.33*0.25)-0.08+0.83</f>
        <v>7.8324999999999996</v>
      </c>
      <c r="I330" s="55">
        <f t="shared" si="20"/>
        <v>65.354379999999992</v>
      </c>
      <c r="J330" s="59"/>
      <c r="K330" s="4"/>
      <c r="M330" s="4"/>
      <c r="N330" s="4"/>
      <c r="O330" s="4"/>
      <c r="P330" s="4"/>
      <c r="Q330" s="4"/>
      <c r="AK330" s="44">
        <f t="shared" si="25"/>
        <v>1.0429999999999999</v>
      </c>
    </row>
    <row r="331" spans="2:37" ht="12.75" customHeight="1">
      <c r="B331" s="26">
        <f t="shared" si="26"/>
        <v>323</v>
      </c>
      <c r="C331" s="129" t="s">
        <v>288</v>
      </c>
      <c r="D331" s="66"/>
      <c r="E331" s="125">
        <f>TRUNC((8-0.5*2)/1+1.9)</f>
        <v>8</v>
      </c>
      <c r="F331" s="67">
        <v>6</v>
      </c>
      <c r="G331" s="127" t="s">
        <v>57</v>
      </c>
      <c r="H331" s="68">
        <f>(28.33*0.25)-0.08+0.83</f>
        <v>7.8324999999999996</v>
      </c>
      <c r="I331" s="55">
        <f t="shared" si="20"/>
        <v>94.115319999999997</v>
      </c>
      <c r="J331" s="59"/>
      <c r="K331" s="4"/>
      <c r="L331" s="4"/>
      <c r="M331" s="4"/>
      <c r="N331" s="4"/>
      <c r="O331" s="4"/>
      <c r="P331" s="4"/>
      <c r="Q331" s="4"/>
      <c r="AK331" s="44">
        <f t="shared" si="25"/>
        <v>1.502</v>
      </c>
    </row>
    <row r="332" spans="2:37" ht="12.75" customHeight="1">
      <c r="B332" s="26">
        <f t="shared" si="26"/>
        <v>324</v>
      </c>
      <c r="C332" s="129" t="s">
        <v>290</v>
      </c>
      <c r="D332" s="66"/>
      <c r="E332" s="125">
        <f>TRUNC((10-0.5*2)/1+1.9)</f>
        <v>10</v>
      </c>
      <c r="F332" s="67">
        <v>5</v>
      </c>
      <c r="G332" s="127" t="s">
        <v>65</v>
      </c>
      <c r="H332" s="68">
        <f>10.75+0.83</f>
        <v>11.58</v>
      </c>
      <c r="I332" s="55">
        <f t="shared" si="20"/>
        <v>120.7794</v>
      </c>
      <c r="J332" s="59"/>
      <c r="K332" s="4"/>
      <c r="L332" s="4"/>
      <c r="M332" s="4"/>
      <c r="N332" s="4"/>
      <c r="O332" s="4"/>
      <c r="P332" s="4"/>
      <c r="Q332" s="4"/>
      <c r="AK332" s="44">
        <f t="shared" si="25"/>
        <v>1.0429999999999999</v>
      </c>
    </row>
    <row r="333" spans="2:37" ht="12.75" customHeight="1">
      <c r="B333" s="26">
        <f t="shared" si="26"/>
        <v>325</v>
      </c>
      <c r="C333" s="129" t="s">
        <v>290</v>
      </c>
      <c r="D333" s="66"/>
      <c r="E333" s="125">
        <f>TRUNC((10-0.5*2)/1+1.9)</f>
        <v>10</v>
      </c>
      <c r="F333" s="67">
        <v>5</v>
      </c>
      <c r="G333" s="127" t="s">
        <v>57</v>
      </c>
      <c r="H333" s="68">
        <f>10.75+0.83</f>
        <v>11.58</v>
      </c>
      <c r="I333" s="55">
        <f t="shared" si="20"/>
        <v>120.7794</v>
      </c>
      <c r="J333" s="59"/>
      <c r="L333" s="4"/>
      <c r="M333" s="4"/>
      <c r="N333" s="4"/>
      <c r="O333" s="4"/>
      <c r="P333" s="4"/>
      <c r="Q333" s="4"/>
      <c r="AK333" s="44">
        <f t="shared" si="25"/>
        <v>1.0429999999999999</v>
      </c>
    </row>
    <row r="334" spans="2:37" ht="12.75" customHeight="1">
      <c r="B334" s="26">
        <f t="shared" si="26"/>
        <v>326</v>
      </c>
      <c r="C334" s="130" t="s">
        <v>329</v>
      </c>
      <c r="D334" s="66"/>
      <c r="E334" s="66"/>
      <c r="F334" s="67"/>
      <c r="G334" s="66"/>
      <c r="H334" s="68"/>
      <c r="I334" s="55">
        <f t="shared" si="20"/>
        <v>0</v>
      </c>
      <c r="J334" s="59"/>
      <c r="K334" s="4"/>
      <c r="L334" s="4"/>
      <c r="M334" s="4"/>
      <c r="N334" s="4"/>
      <c r="O334" s="4"/>
      <c r="P334" s="4"/>
      <c r="Q334" s="4"/>
      <c r="AK334" s="44">
        <f t="shared" si="25"/>
        <v>0</v>
      </c>
    </row>
    <row r="335" spans="2:37" ht="12.75" customHeight="1">
      <c r="B335" s="26">
        <f t="shared" si="26"/>
        <v>327</v>
      </c>
      <c r="C335" s="129" t="s">
        <v>290</v>
      </c>
      <c r="D335" s="66"/>
      <c r="E335" s="66">
        <f>TRUNC((7-0.5*2)/1+1.9)</f>
        <v>7</v>
      </c>
      <c r="F335" s="67">
        <v>5</v>
      </c>
      <c r="G335" s="127" t="s">
        <v>65</v>
      </c>
      <c r="H335" s="68">
        <f>21-0.08+0.83</f>
        <v>21.75</v>
      </c>
      <c r="I335" s="55">
        <f t="shared" si="20"/>
        <v>158.79675</v>
      </c>
      <c r="J335" s="59"/>
      <c r="K335" s="4"/>
      <c r="L335" s="4"/>
      <c r="M335" s="4"/>
      <c r="N335" s="4"/>
      <c r="O335" s="4"/>
      <c r="P335" s="4"/>
      <c r="Q335" s="4"/>
      <c r="AK335" s="44">
        <f t="shared" si="25"/>
        <v>1.0429999999999999</v>
      </c>
    </row>
    <row r="336" spans="2:37" ht="12.75" customHeight="1">
      <c r="B336" s="26">
        <f t="shared" si="26"/>
        <v>328</v>
      </c>
      <c r="C336" s="129" t="s">
        <v>290</v>
      </c>
      <c r="D336" s="66"/>
      <c r="E336" s="66">
        <f>TRUNC((7-0.5*2)/1+1.9)</f>
        <v>7</v>
      </c>
      <c r="F336" s="67">
        <v>5</v>
      </c>
      <c r="G336" s="127" t="s">
        <v>65</v>
      </c>
      <c r="H336" s="68">
        <f>9-0.08+0.83</f>
        <v>9.75</v>
      </c>
      <c r="I336" s="55">
        <f t="shared" si="20"/>
        <v>71.184749999999994</v>
      </c>
      <c r="J336" s="59"/>
      <c r="K336" s="4"/>
      <c r="L336" s="4"/>
      <c r="M336" s="4"/>
      <c r="N336" s="4"/>
      <c r="O336" s="4"/>
      <c r="P336" s="4"/>
      <c r="Q336" s="4"/>
      <c r="AK336" s="44">
        <f t="shared" si="25"/>
        <v>1.0429999999999999</v>
      </c>
    </row>
    <row r="337" spans="2:37" ht="12.75" customHeight="1">
      <c r="B337" s="26">
        <f t="shared" si="26"/>
        <v>329</v>
      </c>
      <c r="C337" s="129" t="s">
        <v>290</v>
      </c>
      <c r="D337" s="66"/>
      <c r="E337" s="66">
        <f>TRUNC((7-0.5*2)/1+1.9)</f>
        <v>7</v>
      </c>
      <c r="F337" s="67">
        <v>5</v>
      </c>
      <c r="G337" s="127" t="s">
        <v>65</v>
      </c>
      <c r="H337" s="68">
        <f>22-0.08+0.83</f>
        <v>22.75</v>
      </c>
      <c r="I337" s="55">
        <f t="shared" ref="I337:I358" si="27">IF(D337="",AK337*H337*E337,AK337*H337*E337*D337)</f>
        <v>166.09774999999999</v>
      </c>
      <c r="J337" s="59"/>
      <c r="K337" s="4"/>
      <c r="L337" s="4"/>
      <c r="M337" s="4"/>
      <c r="N337" s="4"/>
      <c r="O337" s="4"/>
      <c r="P337" s="4"/>
      <c r="Q337" s="4"/>
      <c r="AK337" s="44">
        <f t="shared" si="25"/>
        <v>1.0429999999999999</v>
      </c>
    </row>
    <row r="338" spans="2:37" ht="12.75" customHeight="1">
      <c r="B338" s="26">
        <f t="shared" si="26"/>
        <v>330</v>
      </c>
      <c r="C338" s="132" t="s">
        <v>330</v>
      </c>
      <c r="D338" s="66"/>
      <c r="E338" s="66"/>
      <c r="F338" s="67"/>
      <c r="G338" s="66"/>
      <c r="H338" s="68"/>
      <c r="I338" s="55">
        <f t="shared" si="27"/>
        <v>0</v>
      </c>
      <c r="J338" s="59"/>
      <c r="L338" s="4"/>
      <c r="M338" s="4"/>
      <c r="N338" s="4"/>
      <c r="O338" s="4"/>
      <c r="P338" s="4"/>
      <c r="Q338" s="4"/>
      <c r="AK338" s="44">
        <f t="shared" si="25"/>
        <v>0</v>
      </c>
    </row>
    <row r="339" spans="2:37" ht="12.75" customHeight="1">
      <c r="B339" s="26">
        <f t="shared" si="26"/>
        <v>331</v>
      </c>
      <c r="C339" s="133" t="s">
        <v>331</v>
      </c>
      <c r="D339" s="66"/>
      <c r="E339" s="66">
        <f>TRUNC((55)/1.33+1.9)</f>
        <v>43</v>
      </c>
      <c r="F339" s="67">
        <v>5</v>
      </c>
      <c r="G339" s="66" t="s">
        <v>65</v>
      </c>
      <c r="H339" s="68">
        <f>1+(1-0.25)+3</f>
        <v>4.75</v>
      </c>
      <c r="I339" s="55">
        <f t="shared" si="27"/>
        <v>213.03274999999999</v>
      </c>
      <c r="J339" s="59"/>
      <c r="K339" s="4"/>
      <c r="L339" s="4"/>
      <c r="M339" s="4"/>
      <c r="N339" s="4"/>
      <c r="O339" s="4"/>
      <c r="P339" s="4"/>
      <c r="Q339" s="4"/>
      <c r="AK339" s="44">
        <f t="shared" si="25"/>
        <v>1.0429999999999999</v>
      </c>
    </row>
    <row r="340" spans="2:37" ht="12.75" customHeight="1">
      <c r="B340" s="26">
        <f t="shared" si="26"/>
        <v>332</v>
      </c>
      <c r="C340" s="134" t="s">
        <v>332</v>
      </c>
      <c r="D340" s="66"/>
      <c r="E340" s="66">
        <f>TRUNC(17820/16+1.9)</f>
        <v>1115</v>
      </c>
      <c r="F340" s="66">
        <v>4</v>
      </c>
      <c r="G340" s="66" t="s">
        <v>65</v>
      </c>
      <c r="H340" s="68">
        <f>0.41+1.5*3</f>
        <v>4.91</v>
      </c>
      <c r="I340" s="55">
        <f t="shared" si="27"/>
        <v>3657.0662000000002</v>
      </c>
      <c r="J340" s="59"/>
      <c r="K340" s="4"/>
      <c r="L340" s="4"/>
      <c r="M340" s="4"/>
      <c r="N340" s="4"/>
      <c r="O340" s="4"/>
      <c r="P340" s="4"/>
      <c r="Q340" s="4"/>
      <c r="AK340" s="44">
        <f t="shared" si="25"/>
        <v>0.66800000000000004</v>
      </c>
    </row>
    <row r="341" spans="2:37" ht="12.75" customHeight="1">
      <c r="B341" s="26">
        <f t="shared" si="26"/>
        <v>333</v>
      </c>
      <c r="C341" s="130" t="s">
        <v>333</v>
      </c>
      <c r="D341" s="66"/>
      <c r="E341" s="66"/>
      <c r="F341" s="67"/>
      <c r="G341" s="127"/>
      <c r="H341" s="68"/>
      <c r="I341" s="55">
        <f t="shared" si="27"/>
        <v>0</v>
      </c>
      <c r="J341" s="59"/>
      <c r="K341" s="4"/>
      <c r="L341" s="4"/>
      <c r="M341" s="4"/>
      <c r="N341" s="4"/>
      <c r="O341" s="4"/>
      <c r="P341" s="4"/>
      <c r="Q341" s="4"/>
      <c r="AK341" s="44">
        <f t="shared" si="25"/>
        <v>0</v>
      </c>
    </row>
    <row r="342" spans="2:37" ht="12.75" customHeight="1">
      <c r="B342" s="26">
        <f t="shared" si="26"/>
        <v>334</v>
      </c>
      <c r="C342" s="129" t="s">
        <v>334</v>
      </c>
      <c r="D342" s="125"/>
      <c r="E342" s="125">
        <v>2</v>
      </c>
      <c r="F342" s="126">
        <v>6</v>
      </c>
      <c r="G342" s="127" t="s">
        <v>57</v>
      </c>
      <c r="H342" s="128">
        <v>8</v>
      </c>
      <c r="I342" s="55">
        <f t="shared" si="27"/>
        <v>24.032</v>
      </c>
      <c r="J342" s="59"/>
      <c r="K342" s="4"/>
      <c r="L342" s="4"/>
      <c r="M342" s="4"/>
      <c r="N342" s="4"/>
      <c r="O342" s="4"/>
      <c r="P342" s="4"/>
      <c r="Q342" s="4"/>
      <c r="AK342" s="44">
        <f t="shared" si="25"/>
        <v>1.502</v>
      </c>
    </row>
    <row r="343" spans="2:37" ht="12.75" customHeight="1">
      <c r="B343" s="26">
        <f t="shared" si="26"/>
        <v>335</v>
      </c>
      <c r="C343" s="129" t="s">
        <v>335</v>
      </c>
      <c r="D343" s="125"/>
      <c r="E343" s="125">
        <v>2</v>
      </c>
      <c r="F343" s="126">
        <v>5</v>
      </c>
      <c r="G343" s="127" t="s">
        <v>57</v>
      </c>
      <c r="H343" s="128">
        <f>(3.58+2*2)*2+(2.67+2*2)*2</f>
        <v>28.5</v>
      </c>
      <c r="I343" s="55">
        <f t="shared" si="27"/>
        <v>59.450999999999993</v>
      </c>
      <c r="J343" s="59"/>
      <c r="K343" s="4"/>
      <c r="L343" s="4"/>
      <c r="M343" s="4"/>
      <c r="N343" s="4"/>
      <c r="O343" s="4"/>
      <c r="P343" s="4"/>
      <c r="Q343" s="4"/>
      <c r="AK343" s="44">
        <f t="shared" si="25"/>
        <v>1.0429999999999999</v>
      </c>
    </row>
    <row r="344" spans="2:37" ht="12.75" customHeight="1">
      <c r="B344" s="26">
        <f t="shared" si="26"/>
        <v>336</v>
      </c>
      <c r="C344" s="130" t="s">
        <v>336</v>
      </c>
      <c r="D344" s="125"/>
      <c r="E344" s="125"/>
      <c r="F344" s="126"/>
      <c r="G344" s="127"/>
      <c r="H344" s="128"/>
      <c r="I344" s="55">
        <f t="shared" si="27"/>
        <v>0</v>
      </c>
      <c r="J344" s="59"/>
      <c r="K344" s="4"/>
      <c r="L344" s="4"/>
      <c r="M344" s="4"/>
      <c r="N344" s="4"/>
      <c r="O344" s="4"/>
      <c r="P344" s="4"/>
      <c r="Q344" s="4"/>
      <c r="AK344" s="44">
        <f t="shared" si="25"/>
        <v>0</v>
      </c>
    </row>
    <row r="345" spans="2:37" ht="12.75" customHeight="1">
      <c r="B345" s="26">
        <f t="shared" si="26"/>
        <v>337</v>
      </c>
      <c r="C345" s="129" t="s">
        <v>337</v>
      </c>
      <c r="D345" s="66">
        <v>15</v>
      </c>
      <c r="E345" s="66">
        <f>TRUNC((4-0.08*2)/1+1.9)*2</f>
        <v>10</v>
      </c>
      <c r="F345" s="126">
        <v>4</v>
      </c>
      <c r="G345" s="127" t="s">
        <v>57</v>
      </c>
      <c r="H345" s="128">
        <f>4-0.08*2</f>
        <v>3.84</v>
      </c>
      <c r="I345" s="55">
        <f t="shared" si="27"/>
        <v>384.76799999999997</v>
      </c>
      <c r="J345" s="59"/>
      <c r="K345" s="4"/>
      <c r="L345" s="4"/>
      <c r="M345" s="4"/>
      <c r="N345" s="4"/>
      <c r="O345" s="4"/>
      <c r="P345" s="4"/>
      <c r="Q345" s="4"/>
      <c r="AK345" s="44">
        <f t="shared" si="25"/>
        <v>0.66800000000000004</v>
      </c>
    </row>
    <row r="346" spans="2:37" ht="12.75" customHeight="1">
      <c r="B346" s="26">
        <f t="shared" si="26"/>
        <v>338</v>
      </c>
      <c r="C346" s="130" t="s">
        <v>338</v>
      </c>
      <c r="D346" s="66"/>
      <c r="E346" s="66"/>
      <c r="F346" s="126"/>
      <c r="G346" s="127"/>
      <c r="H346" s="128"/>
      <c r="I346" s="55">
        <f t="shared" si="27"/>
        <v>0</v>
      </c>
      <c r="J346" s="59"/>
      <c r="K346" s="4"/>
      <c r="M346" s="4"/>
      <c r="N346" s="4"/>
      <c r="O346" s="4"/>
      <c r="P346" s="4"/>
      <c r="Q346" s="4"/>
      <c r="AK346" s="44">
        <f t="shared" si="25"/>
        <v>0</v>
      </c>
    </row>
    <row r="347" spans="2:37" ht="12.75" customHeight="1">
      <c r="B347" s="26">
        <f t="shared" si="26"/>
        <v>339</v>
      </c>
      <c r="C347" s="129" t="s">
        <v>339</v>
      </c>
      <c r="D347" s="66">
        <v>2</v>
      </c>
      <c r="E347" s="66">
        <v>1</v>
      </c>
      <c r="F347" s="67">
        <v>4</v>
      </c>
      <c r="G347" s="127" t="s">
        <v>57</v>
      </c>
      <c r="H347" s="68">
        <v>29.5</v>
      </c>
      <c r="I347" s="55">
        <f t="shared" si="27"/>
        <v>39.411999999999999</v>
      </c>
      <c r="J347" s="59"/>
      <c r="K347" s="4"/>
      <c r="L347" s="4"/>
      <c r="M347" s="4"/>
      <c r="N347" s="4"/>
      <c r="O347" s="4"/>
      <c r="P347" s="4"/>
      <c r="Q347" s="4"/>
      <c r="AK347" s="44">
        <f t="shared" si="25"/>
        <v>0.66800000000000004</v>
      </c>
    </row>
    <row r="348" spans="2:37" ht="12.75" customHeight="1">
      <c r="B348" s="26">
        <f t="shared" si="26"/>
        <v>340</v>
      </c>
      <c r="C348" s="129" t="s">
        <v>127</v>
      </c>
      <c r="D348" s="125">
        <v>2</v>
      </c>
      <c r="E348" s="125">
        <f>TRUNC((29.5)/1+1.9)</f>
        <v>31</v>
      </c>
      <c r="F348" s="126">
        <v>4</v>
      </c>
      <c r="G348" s="127" t="s">
        <v>65</v>
      </c>
      <c r="H348" s="128">
        <f>1+0.5-0.08*2+0.5</f>
        <v>1.84</v>
      </c>
      <c r="I348" s="55">
        <f t="shared" si="27"/>
        <v>76.20544000000001</v>
      </c>
      <c r="J348" s="59"/>
      <c r="K348" s="4"/>
      <c r="L348" s="4"/>
      <c r="M348" s="4"/>
      <c r="N348" s="4"/>
      <c r="O348" s="4"/>
      <c r="P348" s="4"/>
      <c r="Q348" s="4"/>
      <c r="AK348" s="44">
        <f t="shared" si="25"/>
        <v>0.66800000000000004</v>
      </c>
    </row>
    <row r="349" spans="2:37" ht="12.75" customHeight="1">
      <c r="B349" s="26">
        <f t="shared" si="26"/>
        <v>341</v>
      </c>
      <c r="C349" s="132" t="s">
        <v>330</v>
      </c>
      <c r="D349" s="66"/>
      <c r="E349" s="66"/>
      <c r="F349" s="67"/>
      <c r="G349" s="66"/>
      <c r="H349" s="68"/>
      <c r="I349" s="55">
        <f t="shared" si="27"/>
        <v>0</v>
      </c>
      <c r="J349" s="59"/>
      <c r="L349" s="4"/>
      <c r="M349" s="4"/>
      <c r="N349" s="4"/>
      <c r="O349" s="4"/>
      <c r="P349" s="4"/>
      <c r="Q349" s="4"/>
      <c r="AK349" s="44">
        <f t="shared" si="25"/>
        <v>0</v>
      </c>
    </row>
    <row r="350" spans="2:37" ht="12.75" customHeight="1">
      <c r="B350" s="26">
        <f t="shared" si="26"/>
        <v>342</v>
      </c>
      <c r="C350" s="133" t="s">
        <v>331</v>
      </c>
      <c r="D350" s="66"/>
      <c r="E350" s="66">
        <f>TRUNC((55)/1.33+1.9)</f>
        <v>43</v>
      </c>
      <c r="F350" s="67">
        <v>5</v>
      </c>
      <c r="G350" s="66" t="s">
        <v>65</v>
      </c>
      <c r="H350" s="68">
        <f>1+(1-0.25)+3</f>
        <v>4.75</v>
      </c>
      <c r="I350" s="55">
        <f t="shared" si="27"/>
        <v>213.03274999999999</v>
      </c>
      <c r="J350" s="59"/>
      <c r="K350" s="4"/>
      <c r="L350" s="4"/>
      <c r="M350" s="4"/>
      <c r="N350" s="4"/>
      <c r="O350" s="4"/>
      <c r="P350" s="4"/>
      <c r="Q350" s="4"/>
      <c r="AK350" s="44">
        <f t="shared" si="25"/>
        <v>1.0429999999999999</v>
      </c>
    </row>
    <row r="351" spans="2:37" ht="12.75" customHeight="1">
      <c r="B351" s="26">
        <f t="shared" si="26"/>
        <v>343</v>
      </c>
      <c r="C351" s="134" t="s">
        <v>332</v>
      </c>
      <c r="D351" s="66"/>
      <c r="E351" s="66">
        <f>TRUNC(17820/16+1.9)</f>
        <v>1115</v>
      </c>
      <c r="F351" s="66">
        <v>4</v>
      </c>
      <c r="G351" s="66" t="s">
        <v>65</v>
      </c>
      <c r="H351" s="68">
        <f>0.41+1.5*3</f>
        <v>4.91</v>
      </c>
      <c r="I351" s="55">
        <f t="shared" si="27"/>
        <v>3657.0662000000002</v>
      </c>
      <c r="J351" s="59"/>
      <c r="K351" s="4"/>
      <c r="L351" s="4"/>
      <c r="M351" s="4"/>
      <c r="N351" s="4"/>
      <c r="O351" s="4"/>
      <c r="P351" s="4"/>
      <c r="Q351" s="4"/>
      <c r="AK351" s="44">
        <f t="shared" si="25"/>
        <v>0.66800000000000004</v>
      </c>
    </row>
    <row r="352" spans="2:37" ht="12.75" customHeight="1">
      <c r="B352" s="26">
        <f t="shared" si="26"/>
        <v>344</v>
      </c>
      <c r="C352" s="129"/>
      <c r="D352" s="125"/>
      <c r="E352" s="125"/>
      <c r="F352" s="67"/>
      <c r="G352" s="127"/>
      <c r="H352" s="68"/>
      <c r="I352" s="55">
        <f t="shared" si="27"/>
        <v>0</v>
      </c>
      <c r="J352" s="59"/>
      <c r="K352" s="4"/>
      <c r="L352" s="4"/>
      <c r="M352" s="4"/>
      <c r="N352" s="4"/>
      <c r="O352" s="4"/>
      <c r="P352" s="4"/>
      <c r="Q352" s="4"/>
      <c r="AK352" s="44">
        <f t="shared" si="25"/>
        <v>0</v>
      </c>
    </row>
    <row r="353" spans="2:37" ht="12.75" customHeight="1">
      <c r="B353" s="26">
        <f t="shared" si="26"/>
        <v>345</v>
      </c>
      <c r="C353" s="129"/>
      <c r="D353" s="125"/>
      <c r="E353" s="125"/>
      <c r="F353" s="126"/>
      <c r="G353" s="127"/>
      <c r="H353" s="128"/>
      <c r="I353" s="55">
        <f t="shared" si="27"/>
        <v>0</v>
      </c>
      <c r="J353" s="59"/>
      <c r="K353" s="4"/>
      <c r="L353" s="4"/>
      <c r="M353" s="4"/>
      <c r="N353" s="4"/>
      <c r="O353" s="4"/>
      <c r="P353" s="4"/>
      <c r="Q353" s="4"/>
      <c r="AK353" s="44">
        <f t="shared" si="25"/>
        <v>0</v>
      </c>
    </row>
    <row r="354" spans="2:37" ht="12.75" customHeight="1">
      <c r="B354" s="26">
        <f t="shared" si="26"/>
        <v>346</v>
      </c>
      <c r="C354" s="129"/>
      <c r="D354" s="125"/>
      <c r="E354" s="125"/>
      <c r="F354" s="126"/>
      <c r="G354" s="127"/>
      <c r="H354" s="128"/>
      <c r="I354" s="55">
        <f t="shared" si="27"/>
        <v>0</v>
      </c>
      <c r="J354" s="59"/>
      <c r="L354" s="4"/>
      <c r="M354" s="4"/>
      <c r="N354" s="4"/>
      <c r="O354" s="4"/>
      <c r="P354" s="4"/>
      <c r="Q354" s="4"/>
      <c r="AK354" s="44">
        <f t="shared" si="25"/>
        <v>0</v>
      </c>
    </row>
    <row r="355" spans="2:37" ht="12.75" customHeight="1">
      <c r="B355" s="26">
        <f t="shared" si="26"/>
        <v>347</v>
      </c>
      <c r="C355" s="129"/>
      <c r="D355" s="125"/>
      <c r="E355" s="125"/>
      <c r="F355" s="126"/>
      <c r="G355" s="127"/>
      <c r="H355" s="128"/>
      <c r="I355" s="55">
        <f t="shared" si="27"/>
        <v>0</v>
      </c>
      <c r="J355" s="59"/>
      <c r="K355" s="4"/>
      <c r="L355" s="4"/>
      <c r="M355" s="4"/>
      <c r="N355" s="4"/>
      <c r="O355" s="4"/>
      <c r="P355" s="4"/>
      <c r="Q355" s="4"/>
      <c r="AK355" s="44">
        <f t="shared" si="25"/>
        <v>0</v>
      </c>
    </row>
    <row r="356" spans="2:37" ht="12.75" customHeight="1">
      <c r="B356" s="26">
        <f t="shared" si="26"/>
        <v>348</v>
      </c>
      <c r="C356" s="129"/>
      <c r="D356" s="66"/>
      <c r="E356" s="66"/>
      <c r="F356" s="126"/>
      <c r="G356" s="127"/>
      <c r="H356" s="128"/>
      <c r="I356" s="55">
        <f t="shared" si="27"/>
        <v>0</v>
      </c>
      <c r="J356" s="59"/>
      <c r="K356" s="4"/>
      <c r="L356" s="4"/>
      <c r="M356" s="4"/>
      <c r="N356" s="4"/>
      <c r="O356" s="4"/>
      <c r="P356" s="4"/>
      <c r="Q356" s="4"/>
      <c r="AK356" s="44">
        <f t="shared" si="25"/>
        <v>0</v>
      </c>
    </row>
    <row r="357" spans="2:37" ht="12.75" customHeight="1">
      <c r="B357" s="26">
        <f t="shared" si="26"/>
        <v>349</v>
      </c>
      <c r="C357" s="129"/>
      <c r="D357" s="66"/>
      <c r="E357" s="66"/>
      <c r="F357" s="126"/>
      <c r="G357" s="127"/>
      <c r="H357" s="128"/>
      <c r="I357" s="55">
        <f t="shared" si="27"/>
        <v>0</v>
      </c>
      <c r="J357" s="59"/>
      <c r="K357" s="4"/>
      <c r="L357" s="4"/>
      <c r="M357" s="4"/>
      <c r="N357" s="4"/>
      <c r="O357" s="4"/>
      <c r="P357" s="4"/>
      <c r="Q357" s="4"/>
      <c r="AK357" s="44">
        <f t="shared" si="25"/>
        <v>0</v>
      </c>
    </row>
    <row r="358" spans="2:37" ht="12.75" customHeight="1">
      <c r="B358" s="26">
        <f t="shared" si="26"/>
        <v>350</v>
      </c>
      <c r="C358" s="129"/>
      <c r="D358" s="66"/>
      <c r="E358" s="66"/>
      <c r="F358" s="67"/>
      <c r="G358" s="127"/>
      <c r="H358" s="128"/>
      <c r="I358" s="55">
        <f t="shared" si="27"/>
        <v>0</v>
      </c>
      <c r="J358" s="59"/>
      <c r="K358" s="4"/>
      <c r="L358" s="4"/>
      <c r="M358" s="4"/>
      <c r="N358" s="4"/>
      <c r="O358" s="4"/>
      <c r="P358" s="4"/>
      <c r="Q358" s="4"/>
      <c r="AK358" s="44">
        <f t="shared" si="25"/>
        <v>0</v>
      </c>
    </row>
    <row r="359" spans="2:37" ht="13.5" thickBot="1">
      <c r="G359" s="46"/>
      <c r="H359" s="88" t="s">
        <v>90</v>
      </c>
      <c r="I359" s="89">
        <f>SUM(I9:I358)</f>
        <v>121001.15973400003</v>
      </c>
      <c r="AK359" s="44">
        <f t="shared" si="25"/>
        <v>0</v>
      </c>
    </row>
    <row r="360" spans="2:37">
      <c r="I360" s="90"/>
    </row>
    <row r="363" spans="2:37">
      <c r="I363" s="90">
        <f>I359/2000</f>
        <v>60.500579867000013</v>
      </c>
    </row>
  </sheetData>
  <mergeCells count="5">
    <mergeCell ref="C1:H2"/>
    <mergeCell ref="D4:I4"/>
    <mergeCell ref="D5:I5"/>
    <mergeCell ref="D6:I6"/>
    <mergeCell ref="D7:I7"/>
  </mergeCells>
  <dataValidations disablePrompts="1" count="5">
    <dataValidation type="list" allowBlank="1" showInputMessage="1" showErrorMessage="1" sqref="F340 F351">
      <formula1>$CI$10:$CI$58</formula1>
    </dataValidation>
    <dataValidation type="list" allowBlank="1" showInputMessage="1" showErrorMessage="1" sqref="G340 G351">
      <formula1>$CL$12:$CL$22</formula1>
    </dataValidation>
    <dataValidation type="list" allowBlank="1" showInputMessage="1" showErrorMessage="1" sqref="J9:J358">
      <formula1>"A-615 GR-60,A-615 GR-40,A706 GR-60"</formula1>
    </dataValidation>
    <dataValidation type="list" allowBlank="1" showInputMessage="1" showErrorMessage="1" sqref="G352:G358 G9:G339 G341:G350">
      <formula1>$CL$15:$CL$24</formula1>
    </dataValidation>
    <dataValidation type="list" allowBlank="1" showInputMessage="1" showErrorMessage="1" sqref="F352:F358 F9:F339 F341:F350">
      <formula1>$CI$16:$CI$38</formula1>
    </dataValidation>
  </dataValidations>
  <printOptions horizontalCentered="1" verticalCentered="1"/>
  <pageMargins left="0.6" right="0.6" top="0" bottom="0.5" header="0.5" footer="0.5"/>
  <pageSetup paperSize="9" scale="90" orientation="portrait" r:id="rId1"/>
  <headerFooter alignWithMargins="0">
    <oddFooter>&amp;LSimsona Corp Estimation&amp;RPage &amp;P of &amp;N</oddFooter>
  </headerFooter>
  <rowBreaks count="6" manualBreakCount="6">
    <brk id="58" min="1" max="8" man="1"/>
    <brk id="108" min="1" max="8" man="1"/>
    <brk id="158" min="1" max="8" man="1"/>
    <brk id="208" min="1" max="8" man="1"/>
    <brk id="258" min="1" max="8" man="1"/>
    <brk id="308" min="1" max="8" man="1"/>
  </rowBreaks>
  <ignoredErrors>
    <ignoredError sqref="E38:H3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38</vt:i4>
      </vt:variant>
    </vt:vector>
  </HeadingPairs>
  <TitlesOfParts>
    <vt:vector size="52" baseType="lpstr">
      <vt:lpstr>COVER SHEET</vt:lpstr>
      <vt:lpstr>TAKEOFF DETAILS</vt:lpstr>
      <vt:lpstr>P2-PAD FOOTINGS</vt:lpstr>
      <vt:lpstr>P2-WALL FOOTINGS</vt:lpstr>
      <vt:lpstr>P2-SLAB ON GRADE</vt:lpstr>
      <vt:lpstr>COLUMNS</vt:lpstr>
      <vt:lpstr>CONCRETE WALLS</vt:lpstr>
      <vt:lpstr>P1 LEVEL BEAMS</vt:lpstr>
      <vt:lpstr>P1 LEVEL SLAB</vt:lpstr>
      <vt:lpstr>1ST FLOOR BEAMS</vt:lpstr>
      <vt:lpstr>1ST FLOOR SLAB</vt:lpstr>
      <vt:lpstr>2ND FLOOR BEAMS</vt:lpstr>
      <vt:lpstr>2ND FLOOR SLAB</vt:lpstr>
      <vt:lpstr>STAIRS</vt:lpstr>
      <vt:lpstr>'1ST FLOOR BEAMS'!AAAAAAAAAAAAAAAAAAAAAAAAAAAAAAAAAAAAAAAAAAAAAAAAAAAAAAA1</vt:lpstr>
      <vt:lpstr>'1ST FLOOR SLAB'!AAAAAAAAAAAAAAAAAAAAAAAAAAAAAAAAAAAAAAAAAAAAAAAAAAAAAAA1</vt:lpstr>
      <vt:lpstr>'2ND FLOOR BEAMS'!AAAAAAAAAAAAAAAAAAAAAAAAAAAAAAAAAAAAAAAAAAAAAAAAAAAAAAA1</vt:lpstr>
      <vt:lpstr>'2ND FLOOR SLAB'!AAAAAAAAAAAAAAAAAAAAAAAAAAAAAAAAAAAAAAAAAAAAAAAAAAAAAAA1</vt:lpstr>
      <vt:lpstr>COLUMNS!AAAAAAAAAAAAAAAAAAAAAAAAAAAAAAAAAAAAAAAAAAAAAAAAAAAAAAA1</vt:lpstr>
      <vt:lpstr>'CONCRETE WALLS'!AAAAAAAAAAAAAAAAAAAAAAAAAAAAAAAAAAAAAAAAAAAAAAAAAAAAAAA1</vt:lpstr>
      <vt:lpstr>'P1 LEVEL BEAMS'!AAAAAAAAAAAAAAAAAAAAAAAAAAAAAAAAAAAAAAAAAAAAAAAAAAAAAAA1</vt:lpstr>
      <vt:lpstr>'P1 LEVEL SLAB'!AAAAAAAAAAAAAAAAAAAAAAAAAAAAAAAAAAAAAAAAAAAAAAAAAAAAAAA1</vt:lpstr>
      <vt:lpstr>'P2-PAD FOOTINGS'!AAAAAAAAAAAAAAAAAAAAAAAAAAAAAAAAAAAAAAAAAAAAAAAAAAAAAAA1</vt:lpstr>
      <vt:lpstr>'P2-SLAB ON GRADE'!AAAAAAAAAAAAAAAAAAAAAAAAAAAAAAAAAAAAAAAAAAAAAAAAAAAAAAA1</vt:lpstr>
      <vt:lpstr>'P2-WALL FOOTINGS'!AAAAAAAAAAAAAAAAAAAAAAAAAAAAAAAAAAAAAAAAAAAAAAAAAAAAAAA1</vt:lpstr>
      <vt:lpstr>STAIRS!AAAAAAAAAAAAAAAAAAAAAAAAAAAAAAAAAAAAAAAAAAAAAAAAAAAAAAA1</vt:lpstr>
      <vt:lpstr>'1ST FLOOR BEAMS'!Print_Area</vt:lpstr>
      <vt:lpstr>'1ST FLOOR SLAB'!Print_Area</vt:lpstr>
      <vt:lpstr>'2ND FLOOR BEAMS'!Print_Area</vt:lpstr>
      <vt:lpstr>'2ND FLOOR SLAB'!Print_Area</vt:lpstr>
      <vt:lpstr>COLUMNS!Print_Area</vt:lpstr>
      <vt:lpstr>'CONCRETE WALLS'!Print_Area</vt:lpstr>
      <vt:lpstr>'COVER SHEET'!Print_Area</vt:lpstr>
      <vt:lpstr>'P1 LEVEL BEAMS'!Print_Area</vt:lpstr>
      <vt:lpstr>'P1 LEVEL SLAB'!Print_Area</vt:lpstr>
      <vt:lpstr>'P2-PAD FOOTINGS'!Print_Area</vt:lpstr>
      <vt:lpstr>'P2-SLAB ON GRADE'!Print_Area</vt:lpstr>
      <vt:lpstr>'P2-WALL FOOTINGS'!Print_Area</vt:lpstr>
      <vt:lpstr>STAIRS!Print_Area</vt:lpstr>
      <vt:lpstr>'1ST FLOOR BEAMS'!Print_Titles</vt:lpstr>
      <vt:lpstr>'1ST FLOOR SLAB'!Print_Titles</vt:lpstr>
      <vt:lpstr>'2ND FLOOR BEAMS'!Print_Titles</vt:lpstr>
      <vt:lpstr>'2ND FLOOR SLAB'!Print_Titles</vt:lpstr>
      <vt:lpstr>COLUMNS!Print_Titles</vt:lpstr>
      <vt:lpstr>'CONCRETE WALLS'!Print_Titles</vt:lpstr>
      <vt:lpstr>'COVER SHEET'!Print_Titles</vt:lpstr>
      <vt:lpstr>'P1 LEVEL BEAMS'!Print_Titles</vt:lpstr>
      <vt:lpstr>'P1 LEVEL SLAB'!Print_Titles</vt:lpstr>
      <vt:lpstr>'P2-PAD FOOTINGS'!Print_Titles</vt:lpstr>
      <vt:lpstr>'P2-SLAB ON GRADE'!Print_Titles</vt:lpstr>
      <vt:lpstr>'P2-WALL FOOTINGS'!Print_Titles</vt:lpstr>
      <vt:lpstr>STAIRS!Print_Titles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new</cp:lastModifiedBy>
  <cp:lastPrinted>2015-08-20T18:02:31Z</cp:lastPrinted>
  <dcterms:created xsi:type="dcterms:W3CDTF">2005-10-13T11:22:26Z</dcterms:created>
  <dcterms:modified xsi:type="dcterms:W3CDTF">2015-08-20T18:02:35Z</dcterms:modified>
</cp:coreProperties>
</file>